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projects\FY2013\residential_aggregate_study\reports\"/>
    </mc:Choice>
  </mc:AlternateContent>
  <bookViews>
    <workbookView xWindow="0" yWindow="0" windowWidth="22815" windowHeight="7845"/>
  </bookViews>
  <sheets>
    <sheet name="Summary Page" sheetId="3" r:id="rId1"/>
    <sheet name="Building Data" sheetId="2" r:id="rId2"/>
    <sheet name="Resident Data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V3" i="2"/>
  <c r="W3" i="2"/>
  <c r="AD3" i="2"/>
  <c r="AS3" i="2"/>
  <c r="BF3" i="2"/>
  <c r="BG3" i="2"/>
  <c r="BH3" i="2"/>
  <c r="BI3" i="2"/>
  <c r="BJ3" i="2"/>
  <c r="BK3" i="2"/>
  <c r="BL3" i="2"/>
  <c r="BM3" i="2"/>
  <c r="F4" i="2"/>
  <c r="BF4" i="2" s="1"/>
  <c r="H4" i="2"/>
  <c r="V4" i="2"/>
  <c r="W4" i="2"/>
  <c r="AD4" i="2"/>
  <c r="AS4" i="2"/>
  <c r="BJ4" i="2"/>
  <c r="BK4" i="2"/>
  <c r="BL4" i="2"/>
  <c r="BM4" i="2"/>
  <c r="F5" i="2"/>
  <c r="BG5" i="2" s="1"/>
  <c r="V5" i="2"/>
  <c r="W5" i="2"/>
  <c r="AD5" i="2"/>
  <c r="AS5" i="2"/>
  <c r="BH5" i="2"/>
  <c r="BI5" i="2"/>
  <c r="BJ5" i="2"/>
  <c r="BK5" i="2"/>
  <c r="BL5" i="2"/>
  <c r="BM5" i="2"/>
  <c r="H6" i="2"/>
  <c r="V6" i="2"/>
  <c r="W6" i="2"/>
  <c r="AD6" i="2"/>
  <c r="AS6" i="2"/>
  <c r="BF6" i="2"/>
  <c r="BG6" i="2"/>
  <c r="BH6" i="2"/>
  <c r="BI6" i="2"/>
  <c r="BJ6" i="2"/>
  <c r="BK6" i="2"/>
  <c r="BL6" i="2"/>
  <c r="BM6" i="2"/>
  <c r="H7" i="2"/>
  <c r="V7" i="2"/>
  <c r="W7" i="2"/>
  <c r="AD7" i="2"/>
  <c r="AS7" i="2"/>
  <c r="BF7" i="2"/>
  <c r="BG7" i="2"/>
  <c r="BH7" i="2"/>
  <c r="BI7" i="2"/>
  <c r="BJ7" i="2"/>
  <c r="BK7" i="2"/>
  <c r="BL7" i="2"/>
  <c r="BM7" i="2"/>
  <c r="H8" i="2"/>
  <c r="V8" i="2"/>
  <c r="W8" i="2"/>
  <c r="AD8" i="2"/>
  <c r="AS8" i="2"/>
  <c r="BF8" i="2"/>
  <c r="BG8" i="2"/>
  <c r="BH8" i="2"/>
  <c r="BI8" i="2"/>
  <c r="BJ8" i="2"/>
  <c r="BK8" i="2"/>
  <c r="BL8" i="2"/>
  <c r="BM8" i="2"/>
  <c r="H9" i="2"/>
  <c r="V9" i="2"/>
  <c r="W9" i="2"/>
  <c r="AS9" i="2"/>
  <c r="BF9" i="2"/>
  <c r="BG9" i="2"/>
  <c r="BH9" i="2"/>
  <c r="BI9" i="2"/>
  <c r="BJ9" i="2"/>
  <c r="BK9" i="2"/>
  <c r="BL9" i="2"/>
  <c r="BM9" i="2"/>
  <c r="F10" i="2"/>
  <c r="BF10" i="2" s="1"/>
  <c r="V10" i="2"/>
  <c r="W10" i="2"/>
  <c r="AD10" i="2"/>
  <c r="AS10" i="2"/>
  <c r="BJ10" i="2"/>
  <c r="BK10" i="2"/>
  <c r="BL10" i="2"/>
  <c r="BM10" i="2"/>
  <c r="F11" i="2"/>
  <c r="BF11" i="2" s="1"/>
  <c r="V11" i="2"/>
  <c r="W11" i="2"/>
  <c r="AD11" i="2"/>
  <c r="AS11" i="2"/>
  <c r="BJ11" i="2"/>
  <c r="BK11" i="2"/>
  <c r="BL11" i="2"/>
  <c r="BM11" i="2"/>
  <c r="F12" i="2"/>
  <c r="H12" i="2" s="1"/>
  <c r="V12" i="2"/>
  <c r="W12" i="2"/>
  <c r="AD12" i="2"/>
  <c r="AS12" i="2"/>
  <c r="BJ12" i="2"/>
  <c r="BK12" i="2"/>
  <c r="BL12" i="2"/>
  <c r="BM12" i="2"/>
  <c r="F13" i="2"/>
  <c r="BF13" i="2" s="1"/>
  <c r="H13" i="2"/>
  <c r="V13" i="2"/>
  <c r="W13" i="2"/>
  <c r="AD13" i="2"/>
  <c r="AS13" i="2"/>
  <c r="BJ13" i="2"/>
  <c r="BK13" i="2"/>
  <c r="BL13" i="2"/>
  <c r="BM13" i="2"/>
  <c r="H14" i="2"/>
  <c r="V14" i="2"/>
  <c r="W14" i="2"/>
  <c r="AD14" i="2"/>
  <c r="AS14" i="2"/>
  <c r="BF14" i="2"/>
  <c r="BG14" i="2"/>
  <c r="BH14" i="2"/>
  <c r="BI14" i="2"/>
  <c r="BJ14" i="2"/>
  <c r="BK14" i="2"/>
  <c r="BL14" i="2"/>
  <c r="BM14" i="2"/>
  <c r="H15" i="2"/>
  <c r="V15" i="2"/>
  <c r="W15" i="2"/>
  <c r="AD15" i="2"/>
  <c r="AS15" i="2"/>
  <c r="BF15" i="2"/>
  <c r="BG15" i="2"/>
  <c r="BH15" i="2"/>
  <c r="BI15" i="2"/>
  <c r="BJ15" i="2"/>
  <c r="BK15" i="2"/>
  <c r="BL15" i="2"/>
  <c r="BM15" i="2"/>
  <c r="F16" i="2"/>
  <c r="BF16" i="2" s="1"/>
  <c r="H16" i="2"/>
  <c r="V16" i="2"/>
  <c r="W16" i="2"/>
  <c r="AD16" i="2"/>
  <c r="AS16" i="2"/>
  <c r="BH16" i="2"/>
  <c r="BI16" i="2"/>
  <c r="BJ16" i="2"/>
  <c r="BK16" i="2"/>
  <c r="BL16" i="2"/>
  <c r="BM16" i="2"/>
  <c r="F17" i="2"/>
  <c r="BF17" i="2" s="1"/>
  <c r="H17" i="2"/>
  <c r="V17" i="2"/>
  <c r="W17" i="2"/>
  <c r="AD17" i="2"/>
  <c r="AS17" i="2"/>
  <c r="BJ17" i="2"/>
  <c r="BK17" i="2"/>
  <c r="BL17" i="2"/>
  <c r="BM17" i="2"/>
  <c r="F18" i="2"/>
  <c r="BF18" i="2" s="1"/>
  <c r="H18" i="2"/>
  <c r="V18" i="2"/>
  <c r="W18" i="2"/>
  <c r="AD18" i="2"/>
  <c r="AS18" i="2"/>
  <c r="BH18" i="2"/>
  <c r="BI18" i="2"/>
  <c r="BJ18" i="2"/>
  <c r="BK18" i="2"/>
  <c r="BL18" i="2"/>
  <c r="BM18" i="2"/>
  <c r="BH10" i="2" l="1"/>
  <c r="BH17" i="2"/>
  <c r="H11" i="2"/>
  <c r="BG12" i="2"/>
  <c r="BI11" i="2"/>
  <c r="BH12" i="2"/>
  <c r="BI10" i="2"/>
  <c r="BI13" i="2"/>
  <c r="BI4" i="2"/>
  <c r="BH11" i="2"/>
  <c r="H5" i="2"/>
  <c r="BI17" i="2"/>
  <c r="BF12" i="2"/>
  <c r="BI12" i="2"/>
  <c r="H10" i="2"/>
  <c r="BG16" i="2"/>
  <c r="BG13" i="2"/>
  <c r="BG17" i="2"/>
  <c r="BG10" i="2"/>
  <c r="BG18" i="2"/>
  <c r="BG11" i="2"/>
  <c r="BF5" i="2"/>
  <c r="BH13" i="2"/>
  <c r="BH4" i="2"/>
  <c r="BG4" i="2"/>
</calcChain>
</file>

<file path=xl/comments1.xml><?xml version="1.0" encoding="utf-8"?>
<comments xmlns="http://schemas.openxmlformats.org/spreadsheetml/2006/main">
  <authors>
    <author>Melissa E McMahon</author>
  </authors>
  <commentList>
    <comment ref="AD2" authorId="0" shapeId="0">
      <text>
        <r>
          <rPr>
            <b/>
            <sz val="8"/>
            <color indexed="81"/>
            <rFont val="Tahoma"/>
            <family val="2"/>
          </rPr>
          <t>Melissa E McMahon:</t>
        </r>
        <r>
          <rPr>
            <sz val="8"/>
            <color indexed="81"/>
            <rFont val="Tahoma"/>
            <family val="2"/>
          </rPr>
          <t xml:space="preserve">
I am not sure quantity matters here; perhaps we just care about: no bike parking (0)/ Visitor bike parking (1), secure and visitor bike parking (2)?</t>
        </r>
      </text>
    </comment>
    <comment ref="AV2" authorId="0" shapeId="0">
      <text>
        <r>
          <rPr>
            <b/>
            <sz val="8"/>
            <color indexed="81"/>
            <rFont val="Tahoma"/>
            <family val="2"/>
          </rPr>
          <t>Melissa E McMahon:</t>
        </r>
        <r>
          <rPr>
            <sz val="8"/>
            <color indexed="81"/>
            <rFont val="Tahoma"/>
            <family val="2"/>
          </rPr>
          <t xml:space="preserve">
Does this include the "sustainable transit benefit program" for employees of the property management company? Current cell values do not reflect this.</t>
        </r>
      </text>
    </comment>
  </commentList>
</comments>
</file>

<file path=xl/sharedStrings.xml><?xml version="1.0" encoding="utf-8"?>
<sst xmlns="http://schemas.openxmlformats.org/spreadsheetml/2006/main" count="596" uniqueCount="405">
  <si>
    <t>Study Residents</t>
  </si>
  <si>
    <t>Region</t>
  </si>
  <si>
    <t>Drive-alone</t>
  </si>
  <si>
    <t>Transit</t>
  </si>
  <si>
    <t>Bike/walk</t>
  </si>
  <si>
    <t>TW/CWS</t>
  </si>
  <si>
    <t>Drive/ride with others</t>
  </si>
  <si>
    <t>(Includes Telework / Compressed Schedule Days Off)</t>
  </si>
  <si>
    <t>TAZs in HH Travel Survey</t>
  </si>
  <si>
    <t xml:space="preserve">Figure 3: Weekly Commute Trips by Mode – Study Residents vs. Neighboring Area Residents </t>
  </si>
  <si>
    <t>(Study residents n = 1,283, Household Travel Survey TAZs n = 462)</t>
  </si>
  <si>
    <t>(Study residents n = 1,283, All Arlington residents n = 551, Regional commuters n = 6,050)</t>
  </si>
  <si>
    <t xml:space="preserve">Figure 4: Weekly Commute Trips by Mode – Study Residents in Metrorail Corridors vs. Non-Metrorail  </t>
  </si>
  <si>
    <t>(Study residents: Metrorail corridors n = 1,068, Non-Metrorail = 215)</t>
  </si>
  <si>
    <t>Non-Metrorail</t>
  </si>
  <si>
    <t>Metrorail Corridor</t>
  </si>
  <si>
    <r>
      <t>Figure 5: Weekly Commute Trips by Mode – Outside Metrorail Corridors: Study Residents vs.</t>
    </r>
    <r>
      <rPr>
        <i/>
        <u/>
        <sz val="10"/>
        <color theme="1"/>
        <rFont val="Century Gothic"/>
        <family val="2"/>
      </rPr>
      <t xml:space="preserve"> Neighboring Area Residents</t>
    </r>
  </si>
  <si>
    <t>(Outside Metrorail Corridors: Study residents n = 215, Household Travel Survey TAZs n = 311)</t>
  </si>
  <si>
    <t>Study Resident Non-Metrorail</t>
  </si>
  <si>
    <t>HH Survey TAZs-Non-Metrorail</t>
  </si>
  <si>
    <t>Figure 6: Weekly Commute Trips by Mode – Metrorail Corridor: Study Residents vs. Neighboring Area Residents</t>
  </si>
  <si>
    <t xml:space="preserve"> (Metrorail corridors: Study residents n = 1,068, Household Travel Survey TAZs n = 151)</t>
  </si>
  <si>
    <t>Study Residents-Metrorail Corridor</t>
  </si>
  <si>
    <t>HH Survey TAZs-Metrorail corridor</t>
  </si>
  <si>
    <t>Figure 7: Weekly Commute Trips by Mode – Study Residents by Distance from Home to Metrorail</t>
  </si>
  <si>
    <t>(0-2 blocks n = 373, 3-5 blocks n = 573, 6-10 blocks n = 0, 1 mile or more n = 337)</t>
  </si>
  <si>
    <t>0-2 blocks</t>
  </si>
  <si>
    <t>2-5 blocks</t>
  </si>
  <si>
    <t>1 mile or more</t>
  </si>
  <si>
    <r>
      <t>Figure 8: Weekly Commute Trips by Mode – Study Residents by Transit Score™</t>
    </r>
    <r>
      <rPr>
        <i/>
        <u/>
        <sz val="11"/>
        <color theme="1"/>
        <rFont val="Century Gothic"/>
        <family val="2"/>
      </rPr>
      <t xml:space="preserve"> </t>
    </r>
  </si>
  <si>
    <t>(Transit Score: 0-24 n = 0, 25-51 n = 253, 52-69 n = 661, 70-89 n = 369, 90-100 n = 0)</t>
  </si>
  <si>
    <t>Some transit (25-51)</t>
  </si>
  <si>
    <t>Good transit (52-69)</t>
  </si>
  <si>
    <t>Excellent transit (70-89)</t>
  </si>
  <si>
    <r>
      <t>Figure 9:  Weekly Commute Trips by Mode – Study Residents by Walk Score™</t>
    </r>
    <r>
      <rPr>
        <i/>
        <u/>
        <sz val="11"/>
        <color theme="1"/>
        <rFont val="Century Gothic"/>
        <family val="2"/>
      </rPr>
      <t xml:space="preserve"> </t>
    </r>
  </si>
  <si>
    <t>(Walk Score: 0-49 n = 110, 50-69 n = 147, 70-89 n = 639, 90-100 n = 387)</t>
  </si>
  <si>
    <t>Car dependent (0-49)</t>
  </si>
  <si>
    <t>Somewhat walkable (50-69)</t>
  </si>
  <si>
    <t>Very walkable (70-89)</t>
  </si>
  <si>
    <t>Walkers' paradise (90-100)</t>
  </si>
  <si>
    <t>Figure 10:  Weekly Commute Trips by Mode – Study Residents by Parking Availability at Home – Metrorail Corridor Only</t>
  </si>
  <si>
    <t>0 - 0.75 per resident</t>
  </si>
  <si>
    <t>0.76 - 0.95 per resident</t>
  </si>
  <si>
    <t>0.96 or more per resident</t>
  </si>
  <si>
    <t>Figure 11: Weekly Commute Trips by Mode – Study Residents by Parking Cost at Home</t>
  </si>
  <si>
    <t>(Parking cost per month: $0 n = 632; $1 - $49 n =169, $50 - $99 n = 371, $100 or more n = 111)</t>
  </si>
  <si>
    <t>$1 - $49</t>
  </si>
  <si>
    <t>$50 - $99</t>
  </si>
  <si>
    <t>$100 or more</t>
  </si>
  <si>
    <t>Figure 12: Weekly Commute Trips by Mode – Study Residents by Parking Cost at Work</t>
  </si>
  <si>
    <t>(Parking cost per month: $0 n = 695, $1 - $100 n =103, $101 - $150 n = 73, $151 or more n = 348)</t>
  </si>
  <si>
    <t>$1 - $100</t>
  </si>
  <si>
    <t>$101 - $150</t>
  </si>
  <si>
    <t>$151 or more</t>
  </si>
  <si>
    <t>Figure 13:  Weekly Commute Trips by Mode – Study Residents by Work Location</t>
  </si>
  <si>
    <t>(Work location: Arlington County n = 332; District of Columbia n =505, Other area n = 398)</t>
  </si>
  <si>
    <t>Arlington</t>
  </si>
  <si>
    <t>DC</t>
  </si>
  <si>
    <t>Other</t>
  </si>
  <si>
    <t>Figure 14:  Daily Non-work Trips – Study and 2008 HH Survey TAZs Inside and Outside the Metrorail Corridors</t>
  </si>
  <si>
    <t>(Study: All n = 1,416, Metrorail corridors n = 1,044, Non-Metrorail n = 372; HH Survey TAZs: All n = 630, Metrorail corridors n = 186, Non-Metrorail n = 444)</t>
  </si>
  <si>
    <t>HH Survey TAZs</t>
  </si>
  <si>
    <t>All</t>
  </si>
  <si>
    <t>Metrorail corridor</t>
  </si>
  <si>
    <t>Table 2:  Daily Non-work Trip – Mode Distribution for Study Residents vs. All Arlington Residents</t>
  </si>
  <si>
    <t>2009 Arlington Resident Survey</t>
  </si>
  <si>
    <t>Walk/Bike</t>
  </si>
  <si>
    <t>Figure 15: Daily Non-work Trips – Study and 2008 HH Survey TAZ</t>
  </si>
  <si>
    <t>Figure16:  Daily Non-work Trips – Study Residents Inside and Outside the Metrorail Corridors</t>
  </si>
  <si>
    <t>(Study: Metrorail corridors n = 1,044, Non-Metrorail n = 372)</t>
  </si>
  <si>
    <t>Figure 17:  Non-work Trips by Mode – Study Residents by Distance from Home to Metrorail Station</t>
  </si>
  <si>
    <t>(0-2 blocks n = 446, 3-5 blocks n = 632, 6-10 blocks n = 0, 1 miles or more n = 372)</t>
  </si>
  <si>
    <t>Figure 18: Daily Non-Work Trips by Mode – Study Residents by Walk Score™</t>
  </si>
  <si>
    <t>(Walk Score: 0-49 n = 118, 50-69 n = 161, 70-89 n = 691, 90-100 n = 446)</t>
  </si>
  <si>
    <t>Figure 19: Daily Non-work Trips by Mode – Study Residents by Transit Score™</t>
  </si>
  <si>
    <t>Figure 20: Non-work Trips by Mode – by Parking Cost at Home</t>
  </si>
  <si>
    <t>(Parking cost per month: $0 n = 676; $1 - $49 n = 204, $50 - $99 n = 413, $100 or more n = 123)</t>
  </si>
  <si>
    <t>0 cars per adults</t>
  </si>
  <si>
    <t>0.1 - 0.99 vehicles per adult</t>
  </si>
  <si>
    <t>1 vehicle per adult</t>
  </si>
  <si>
    <t>More than 1 vehicle per adult</t>
  </si>
  <si>
    <t>Drive alone</t>
  </si>
  <si>
    <t>Figure 34: Number of Vehicles Owned or Leased per Adult Resident of the Household</t>
  </si>
  <si>
    <t>Figure 35: Number of Vehicles Owned or Leased per Adult Resident by Transit Score™</t>
  </si>
  <si>
    <t>(Transit Score: 0-24 n = 0, 25-49 n = 261, 50-69 n = 657, 70-89 n = 397, 90-100 n = 0)</t>
  </si>
  <si>
    <t>Figure 36: Number of Vehicles Owned or Leased per Adult Resident by Walk Score™</t>
  </si>
  <si>
    <t>(Walk Score: 0-49 n = 112, 50-69 n = 143, 70-89 n = 641, 90-100 n = 419)</t>
  </si>
  <si>
    <t xml:space="preserve">Figure 37: Number of Vehicles Owned/Leased per Adult Resident by Residential Parking Spaces per Adult Resident in the Building </t>
  </si>
  <si>
    <t>(Parking spaces per adult resident: 0.66 to 0.75 n = 429; 0.76 to 0.95 n = 480, 0.96 to 1.10 n = 209, 1.11 or more n = 197)</t>
  </si>
  <si>
    <t>0 - 0.75 spaces</t>
  </si>
  <si>
    <t>0.75 - 0.95 spaces</t>
  </si>
  <si>
    <t>0.96 - 1.10 spaces</t>
  </si>
  <si>
    <t>1.11 or more spaces</t>
  </si>
  <si>
    <t>$0 per month</t>
  </si>
  <si>
    <t>$1 - $94</t>
  </si>
  <si>
    <t>$95 or more</t>
  </si>
  <si>
    <t>Figure 38: Number of Vehicles per Adult Resident by Monthly Charge for First Parking Space</t>
  </si>
  <si>
    <t>Figure 39: Work-based TDM Services – Services Available and Services Used</t>
  </si>
  <si>
    <r>
      <t>(n = 1,316, multiple responses permitted)</t>
    </r>
    <r>
      <rPr>
        <sz val="11"/>
        <color theme="1"/>
        <rFont val="Century Gothic"/>
        <family val="2"/>
      </rPr>
      <t xml:space="preserve"> </t>
    </r>
  </si>
  <si>
    <t>Available, not used</t>
  </si>
  <si>
    <t>Available and used</t>
  </si>
  <si>
    <t>Transit schedule info</t>
  </si>
  <si>
    <t>Transit financial incentive</t>
  </si>
  <si>
    <t>Secure bicycle parking</t>
  </si>
  <si>
    <t>Telework</t>
  </si>
  <si>
    <t>Bicycle/walking info</t>
  </si>
  <si>
    <t>Showers / personal lockers</t>
  </si>
  <si>
    <t xml:space="preserve">Carshare </t>
  </si>
  <si>
    <t>Carpool matching</t>
  </si>
  <si>
    <t>Guaranteed Ride Home</t>
  </si>
  <si>
    <t>Preferential carpool/vanpool parking</t>
  </si>
  <si>
    <t>Vanpool financial incentive</t>
  </si>
  <si>
    <t>Carpool financial incentive</t>
  </si>
  <si>
    <t>Figure 40: Level of TDM Assistance Offered at Work</t>
  </si>
  <si>
    <t>(n = 1,316)</t>
  </si>
  <si>
    <t>Don't know, no services reported</t>
  </si>
  <si>
    <t>Low TDM</t>
  </si>
  <si>
    <t>Moderate TDM</t>
  </si>
  <si>
    <t>High TDM</t>
  </si>
  <si>
    <t>Figure 41: Weekly Commute Mode by Level of TDM Assistance Offered at Work</t>
  </si>
  <si>
    <t>(No services reported n = 279, Low TDM n = 401, Moderate TDM n = 226, High TDM n = 353)</t>
  </si>
  <si>
    <t>No services reported</t>
  </si>
  <si>
    <t>Walk/bike</t>
  </si>
  <si>
    <t>Figure 42: Home-Based TDM Services – Services Available and Services Used</t>
  </si>
  <si>
    <t>(n = 1,476, multiple responses permitted)</t>
  </si>
  <si>
    <t>Shuttle to bus / train station</t>
  </si>
  <si>
    <t>Discounted transit pass</t>
  </si>
  <si>
    <t>Help finding carpool/vanpool partner</t>
  </si>
  <si>
    <t>Reserved carpool/vanpool parking</t>
  </si>
  <si>
    <t>Figure 43: Weekly Commute Mode by Availability of Home-based TDM Services</t>
  </si>
  <si>
    <t>(Low TDM n = 495, Moderate TDM n = 289, High TDM n = 393</t>
  </si>
  <si>
    <t>Figure 44: Non-Work Trip Modes by Availability of Home-based TDM Services</t>
  </si>
  <si>
    <t>(No services reported n = 172, Services available n = 1,244)</t>
  </si>
  <si>
    <t>Services available</t>
  </si>
  <si>
    <t>Figure 45: Non-work Bike/Walk Mode split by Availability of Bike/Walk Services</t>
  </si>
  <si>
    <t>Bike/walk info</t>
  </si>
  <si>
    <t>Bike parking</t>
  </si>
  <si>
    <t>Figure 46: Non-work Transit Mode split by Availability of Transit Services</t>
  </si>
  <si>
    <t>Service available</t>
  </si>
  <si>
    <t>Transit route/schedule info</t>
  </si>
  <si>
    <t>Shuttle to bus/train</t>
  </si>
  <si>
    <t>Figure 47: Likely to Try Non-Drive-alone Modes if Services were Available at Home</t>
  </si>
  <si>
    <t>Service available now</t>
  </si>
  <si>
    <t>Don't know</t>
  </si>
  <si>
    <t>1 or 2 (not likely)</t>
  </si>
  <si>
    <t>5-Very likely</t>
  </si>
  <si>
    <t>Help finding CP/VP partner</t>
  </si>
  <si>
    <t>Reserved CP/VP parking</t>
  </si>
  <si>
    <t>Figure 48: Awareness and Use of Arlington County and Regional Travel Information and Assistance Services</t>
  </si>
  <si>
    <t>Aware / not used</t>
  </si>
  <si>
    <t>Aware and have used</t>
  </si>
  <si>
    <t>WMATA / Metro</t>
  </si>
  <si>
    <t>ART bus</t>
  </si>
  <si>
    <t>Commuter Store</t>
  </si>
  <si>
    <t>BikeArlington</t>
  </si>
  <si>
    <t>Commuter Connections</t>
  </si>
  <si>
    <t>WalkArlington</t>
  </si>
  <si>
    <t>CommuterPage.com</t>
  </si>
  <si>
    <t>Arlington County Commuter Services</t>
  </si>
  <si>
    <t>Arlington Transportation Partners</t>
  </si>
  <si>
    <t>Commuter Direct</t>
  </si>
  <si>
    <t>Figure 49: Weekly Commute Mode Split by Awareness and Use of Arlington County Travel Information and Assistance Services</t>
  </si>
  <si>
    <t>Not aware of Arlington services</t>
  </si>
  <si>
    <t>Know any Arlington service</t>
  </si>
  <si>
    <t>Used any Arlington service</t>
  </si>
  <si>
    <t>Carpool/vanpool</t>
  </si>
  <si>
    <t>Figure 50: Non-work Mode Split by Awareness and Use of Arlington County Travel Information and Assistance Services</t>
  </si>
  <si>
    <t>Mode</t>
  </si>
  <si>
    <t>Location</t>
  </si>
  <si>
    <t>(Parking spaces per adult resident: 0.66 to 0.75 n = 190; 0.76 to 0.95 n = 477, 0.96 or more n = 228)</t>
  </si>
  <si>
    <t>(Transit Score: 0-24 n = 0, 25-49 n = 281, 50-69 n = 715, 70-89 n = 420, 90-100 n = 0)</t>
  </si>
  <si>
    <t>(n = 1,315)</t>
  </si>
  <si>
    <t>TDM Service</t>
  </si>
  <si>
    <t>(Bike/walk information: No service n = 172, Service available n = 847; Bike parking: No service n = 440, Service available n = 976)</t>
  </si>
  <si>
    <t>(Transit information: No service n = 456, Service available n = 960; Transit pass:  No service n = 1,179, Service available n = 237; Shuttle to bus/train: No service n = 973, Service available n = 443)</t>
  </si>
  <si>
    <t>Transit Service</t>
  </si>
  <si>
    <t>Bike/Walk Service</t>
  </si>
  <si>
    <t>(Discounted transit pass n = 1,241, Shuttle n = 1,033, Transit schedule n = 513, Bike/walk information n = 628, Bike parking n = 499, Carpool/vanpool partner n = 1,326, Carpool/vanpool parking n = 1,369)</t>
  </si>
  <si>
    <t>(n = 1,283)</t>
  </si>
  <si>
    <t>Travel Information/Assistance Service</t>
  </si>
  <si>
    <t>(Not aware of services n = 179, Aware of services n =1,104, Used services n = 629; Note that respondents who “used services” also are included in the base for respondents who are “aware of services”)</t>
  </si>
  <si>
    <t>(Not aware of services n = 183, Aware of services n =1,233, Used services n = 717; Note that respondents who “used services” also are included in the base for respondents who are “aware of services”)</t>
  </si>
  <si>
    <t>Transit Score</t>
  </si>
  <si>
    <t>Number of Vehicles/Adult Resident</t>
  </si>
  <si>
    <t>Walk Score</t>
  </si>
  <si>
    <t>Parking Spaces/Adult Resident</t>
  </si>
  <si>
    <t>Monthly Charge for First Parking Space</t>
  </si>
  <si>
    <t>(Study Residents n = 1,416)</t>
  </si>
  <si>
    <t>All Arlington Residents</t>
  </si>
  <si>
    <t>Figure 2: Weekly Commute Trips by Mode: Study Residents, All Arlington Residents, All Washington Region Commuters</t>
  </si>
  <si>
    <t>none</t>
  </si>
  <si>
    <t>2013P</t>
  </si>
  <si>
    <t>no data</t>
  </si>
  <si>
    <t>None</t>
  </si>
  <si>
    <t>2013O</t>
  </si>
  <si>
    <t>2013N</t>
  </si>
  <si>
    <t>2013M</t>
  </si>
  <si>
    <t>2013L</t>
  </si>
  <si>
    <t>2013K</t>
  </si>
  <si>
    <t>2013J</t>
  </si>
  <si>
    <t>2013I</t>
  </si>
  <si>
    <t>2013H</t>
  </si>
  <si>
    <t>2013G</t>
  </si>
  <si>
    <t>2013F</t>
  </si>
  <si>
    <t>2013E</t>
  </si>
  <si>
    <t>2013D</t>
  </si>
  <si>
    <t>2013C</t>
  </si>
  <si>
    <t>2013B</t>
  </si>
  <si>
    <t>2013A</t>
  </si>
  <si>
    <t xml:space="preserve">% of residents who have used Arlington info service </t>
  </si>
  <si>
    <t xml:space="preserve">% of residents who know of Arlington info service </t>
  </si>
  <si>
    <t>% residents who have used ART bus</t>
  </si>
  <si>
    <t>% residents who know of ART bus</t>
  </si>
  <si>
    <t>% residents who have used Metro / WMATA transit</t>
  </si>
  <si>
    <t>% residents who know of Metro / WMATA transit service</t>
  </si>
  <si>
    <t>% of daily non-work trips residents make by bicycle</t>
  </si>
  <si>
    <t>% of daily non-work trips residents make by walking</t>
  </si>
  <si>
    <t>% of daily non-work trips residents make by train/bus</t>
  </si>
  <si>
    <t>% of daily non-work trips residents make by driving/riding with others</t>
  </si>
  <si>
    <t>% of daily non-work trips residents make by driving alone</t>
  </si>
  <si>
    <t>% of residents who make non-work trip on a typical day</t>
  </si>
  <si>
    <t>% of employed respondents with transit subsidy offered at work</t>
  </si>
  <si>
    <t>% of employed residents with high TDM level at work</t>
  </si>
  <si>
    <t>% of employed residents with low or unknown TDM level at work: - Low - 0-3 services/no financial, Moderate - 4+ no fianncial</t>
  </si>
  <si>
    <t>Average monthly parking fee at work (residents who pay)</t>
  </si>
  <si>
    <t>% of employed residents who pay to park at work</t>
  </si>
  <si>
    <t>Average one-way travel time from home to work</t>
  </si>
  <si>
    <t>Average one-way travel distance from home to work</t>
  </si>
  <si>
    <t>% of weekly commute trips residents eliminate by telework or CWS days off</t>
  </si>
  <si>
    <t>% of weekly commute trips residents make by walk or bicycle</t>
  </si>
  <si>
    <t>% of weekly commute trips residents make by carpool or vanpool</t>
  </si>
  <si>
    <t>% of weekly commute trips residents make by Metrorail</t>
  </si>
  <si>
    <t>% of weekly commute trips residents make by bus</t>
  </si>
  <si>
    <t>% of weekly commute trips residents make by driving alone</t>
  </si>
  <si>
    <t>% of employed residents who telework at least occasionally</t>
  </si>
  <si>
    <t>Observed/ITE Trips (%)</t>
  </si>
  <si>
    <t>number of trips / number of adult residents on Sunday</t>
  </si>
  <si>
    <t>number of trips / number of adult residents on Saturday</t>
  </si>
  <si>
    <t>number of trips / number of adult residents on Friday</t>
  </si>
  <si>
    <t>average number of trips / number of adult residents for Monday - Thurs</t>
  </si>
  <si>
    <t>number of trips / number of units on Sunday</t>
  </si>
  <si>
    <t>number of trips / number of units on Saturday</t>
  </si>
  <si>
    <t>number of trips / number of units on Friday</t>
  </si>
  <si>
    <t>average number of trips / number of units for Monday - Thurs</t>
  </si>
  <si>
    <t>Sunday trips</t>
  </si>
  <si>
    <t>Saturday trips</t>
  </si>
  <si>
    <t>Friday trips</t>
  </si>
  <si>
    <t xml:space="preserve">Average Monday-Thursday trips </t>
  </si>
  <si>
    <t>%</t>
  </si>
  <si>
    <t>Percentage of residents who perceive a high level of builiding TDM - defined by offering 3+ services, including financial or shuttle</t>
  </si>
  <si>
    <t>Weighted building TDM level - perceived by resident (survey variable) - Score from 1 (low) to 3 (high) - Weighted average of percentages of respondents reporiting levels 1 - Low, 0-2 services, no financial/shuttle, 2 - Moderate - 3+ services, no financial/shuttle, 3-High, 3+ services, including financial or shuttle)</t>
  </si>
  <si>
    <t>None (0)/One time (1)/Ongoing (2; includes transit system contributions that create free or reduced rides for residents)</t>
  </si>
  <si>
    <t>Shuttle to Metrorail offered, Y=1/N=2</t>
  </si>
  <si>
    <t>Level 1 - Kiosk/New tenant welcome packets/ACCS link on website/Redefine or other campaign material; Level 2 – ALSO ATP fair/Trip Planning Assistance/Onsite sale of SmarTrip cards; Level 3 – ALSO Transit Store in building (future)</t>
  </si>
  <si>
    <t>Population as percentage of employment</t>
  </si>
  <si>
    <t>Employment of the area (PRAT)</t>
  </si>
  <si>
    <t>Residential population of the area (PRAT)</t>
  </si>
  <si>
    <t>Residents + Employees/acre</t>
  </si>
  <si>
    <t>employees per acre</t>
  </si>
  <si>
    <t>Residential = DU per acre</t>
  </si>
  <si>
    <t>Transit Score number</t>
  </si>
  <si>
    <t>Walk Score number</t>
  </si>
  <si>
    <t>Actual distance from site to carshare location</t>
  </si>
  <si>
    <t>Actual distance from site to bikeshare station</t>
  </si>
  <si>
    <t>Actual distance from site to bike/walk trail</t>
  </si>
  <si>
    <t>Actual distance from site to interstate / major arterial</t>
  </si>
  <si>
    <t>Actual distance from site to Metrorail stop</t>
  </si>
  <si>
    <t>0-2 bl, 3-5 bl, 6-10 bl, 11 or more</t>
  </si>
  <si>
    <t>Number of stories in the building</t>
  </si>
  <si>
    <t>Ratio of class 1 and 2 bike parking spaces to adult residents (X spaces per adult resident)</t>
  </si>
  <si>
    <t>Contact within last year (2) /Past contact (1) /No direct contact, Brochure orders only (0)</t>
  </si>
  <si>
    <t>Y=1, N=2</t>
  </si>
  <si>
    <t>Y=1/N=2 if monthly parking cost increases for 2+ spaces</t>
  </si>
  <si>
    <t xml:space="preserve">Monthly parking cost for first regular space </t>
  </si>
  <si>
    <t>Is parking deed/lease unbundled from unit (Y=1, N=2)</t>
  </si>
  <si>
    <t>Is parking owned (1) or leased (2)</t>
  </si>
  <si>
    <t>Average number of residential spaces per adult resident</t>
  </si>
  <si>
    <t>Average number of residential spaces per unit</t>
  </si>
  <si>
    <t>Low=1; Med=2, High=3</t>
  </si>
  <si>
    <t>Condo (1)/Apartment (2)</t>
  </si>
  <si>
    <t xml:space="preserve">Percentage residents who are employed </t>
  </si>
  <si>
    <t>Average percent of males per household</t>
  </si>
  <si>
    <t>Average household income</t>
  </si>
  <si>
    <t>Average age of residents</t>
  </si>
  <si>
    <t>Average number of vehicles per adult resident</t>
  </si>
  <si>
    <t>Average number of vehicles per household</t>
  </si>
  <si>
    <t xml:space="preserve">Average number of adult residents per household </t>
  </si>
  <si>
    <t xml:space="preserve">Average number of residents per household </t>
  </si>
  <si>
    <t>Percentage residents who have lived in Arlington &lt; 5 years</t>
  </si>
  <si>
    <t>Percentage residents who have lived in Arlington &lt; 2 years</t>
  </si>
  <si>
    <t>Estimated/actual number of adult residents</t>
  </si>
  <si>
    <t>Number of occupied units</t>
  </si>
  <si>
    <t>Number of units</t>
  </si>
  <si>
    <t>Does site have retail or office (Y=1, N=2)?</t>
  </si>
  <si>
    <t>Y=1 and N=2</t>
  </si>
  <si>
    <t>Building ID</t>
  </si>
  <si>
    <t>Used Arlington info</t>
  </si>
  <si>
    <t>Aware of Arlington info</t>
  </si>
  <si>
    <t>Used ART bus</t>
  </si>
  <si>
    <t>Aware of ART bus</t>
  </si>
  <si>
    <t>Used Metro service</t>
  </si>
  <si>
    <t>Aware of Metro service</t>
  </si>
  <si>
    <t>Non-work Bike</t>
  </si>
  <si>
    <t>Non-work Walk</t>
  </si>
  <si>
    <t>Non-work Transit</t>
  </si>
  <si>
    <t>Non-work Carpool</t>
  </si>
  <si>
    <t>Non-work Drive alone</t>
  </si>
  <si>
    <t>Non-work trips</t>
  </si>
  <si>
    <t>Work transit subsidy</t>
  </si>
  <si>
    <t>Work TDM level – High / Very high</t>
  </si>
  <si>
    <t>Work TDM level – Low / Moderate</t>
  </si>
  <si>
    <t>% Working in Arlington or DC</t>
  </si>
  <si>
    <t>Monthly work parking fee</t>
  </si>
  <si>
    <t>Paid commute parking</t>
  </si>
  <si>
    <t>Commute time (min)</t>
  </si>
  <si>
    <t>Commute distance (mi)</t>
  </si>
  <si>
    <t>Commute Telework/CWS</t>
  </si>
  <si>
    <t>Commute Walk/Bike</t>
  </si>
  <si>
    <t>Commute CP/VP</t>
  </si>
  <si>
    <t>Commute Metrorail</t>
  </si>
  <si>
    <t>Commute Bus</t>
  </si>
  <si>
    <t>Commute drive alone</t>
  </si>
  <si>
    <t>Teleworkers</t>
  </si>
  <si>
    <t>Sunday Daily Peak Trip Generation</t>
  </si>
  <si>
    <t>Saturday Daily Peak Trip Generation</t>
  </si>
  <si>
    <t>Weekday Daily Trip Generation</t>
  </si>
  <si>
    <t>Sunday Peak Trip Generation</t>
  </si>
  <si>
    <t>Saturday Peak Trip Generation</t>
  </si>
  <si>
    <t>Weekday PM Peak Trip Generation</t>
  </si>
  <si>
    <t>Weekday AM Peak Trip Generation</t>
  </si>
  <si>
    <t>Sunday Trips per adult resident</t>
  </si>
  <si>
    <t>Saturday Trips per adult resident</t>
  </si>
  <si>
    <t>Friday Trips per adult resident</t>
  </si>
  <si>
    <t>Mon-Thurs Trips per adult resident</t>
  </si>
  <si>
    <t>Sunday Trips per occupied unit</t>
  </si>
  <si>
    <t>Saturday Trips occupied per unit</t>
  </si>
  <si>
    <t>Friday Trips per occupied unit</t>
  </si>
  <si>
    <t>Mon-Thurs Trips per occupied unit</t>
  </si>
  <si>
    <t xml:space="preserve">Sunday trips </t>
  </si>
  <si>
    <t xml:space="preserve">Saturday trips </t>
  </si>
  <si>
    <t xml:space="preserve">Friday trips </t>
  </si>
  <si>
    <t>Monday-Thursday trips</t>
  </si>
  <si>
    <t>Min Parking Occupancy</t>
  </si>
  <si>
    <t>Max Parking Occupancy</t>
  </si>
  <si>
    <t>Residents perceiving high level of TDM in building</t>
  </si>
  <si>
    <t>Perceived Bldg TDM Level - weighted average</t>
  </si>
  <si>
    <t>Shuttle + Transit subsidy</t>
  </si>
  <si>
    <t>3. Transit Fare Subsidy</t>
  </si>
  <si>
    <t>3. Shuttle</t>
  </si>
  <si>
    <t>1. Transportation Options Information</t>
  </si>
  <si>
    <t>Pop / Empl Ratio</t>
  </si>
  <si>
    <t>Area Employment</t>
  </si>
  <si>
    <t>Area Population</t>
  </si>
  <si>
    <t>Neighborhood Intensity</t>
  </si>
  <si>
    <t xml:space="preserve">Density of Employees within 0.5 miles radius </t>
  </si>
  <si>
    <t xml:space="preserve">Density of Residential Units within 0.5 miles radius </t>
  </si>
  <si>
    <t>Carshare Availability</t>
  </si>
  <si>
    <t>Bikeshare Availability</t>
  </si>
  <si>
    <t>Bike Path Access</t>
  </si>
  <si>
    <t>Highway Access</t>
  </si>
  <si>
    <t>Metrorail Distance</t>
  </si>
  <si>
    <t>MR distance grouped</t>
  </si>
  <si>
    <t>Stories</t>
  </si>
  <si>
    <t>Bike parking supply</t>
  </si>
  <si>
    <t>ATP Events/Outreach</t>
  </si>
  <si>
    <t>Responsive Property Manager</t>
  </si>
  <si>
    <t>Incremental Parking charge</t>
  </si>
  <si>
    <t>Parking charge</t>
  </si>
  <si>
    <t>Unbundled Parking</t>
  </si>
  <si>
    <t>Owned/Leased Parking</t>
  </si>
  <si>
    <t>Residential Parking Ratio per Resident</t>
  </si>
  <si>
    <t>Residential Parking Ratio per Unit</t>
  </si>
  <si>
    <t>Total Parking Spaces</t>
  </si>
  <si>
    <t>Price Level</t>
  </si>
  <si>
    <t>Housing Type</t>
  </si>
  <si>
    <t>Employment Rate</t>
  </si>
  <si>
    <t xml:space="preserve">Male/Female Split </t>
  </si>
  <si>
    <t xml:space="preserve">Average Income </t>
  </si>
  <si>
    <t>Average Age</t>
  </si>
  <si>
    <t>Vehicles per Adult resident</t>
  </si>
  <si>
    <t>Vehicles per Household</t>
  </si>
  <si>
    <t>Adults in Household</t>
  </si>
  <si>
    <t>Household Size</t>
  </si>
  <si>
    <t>Tenure &lt; 5 years</t>
  </si>
  <si>
    <t>Tenure &lt; 2 years</t>
  </si>
  <si>
    <t>Adults / Unit</t>
  </si>
  <si>
    <t>Adult Residents</t>
  </si>
  <si>
    <t>Occupied Units</t>
  </si>
  <si>
    <t>Total Units</t>
  </si>
  <si>
    <t>Commercial Uses</t>
  </si>
  <si>
    <t>In Metro Area</t>
  </si>
  <si>
    <t>ITE Code</t>
  </si>
  <si>
    <t>Site</t>
  </si>
  <si>
    <t>Residential Building Transportation Performance Monitoring Study</t>
  </si>
  <si>
    <t>September 2013</t>
  </si>
  <si>
    <t>The following spreadsheets present data from the 2013 Residential Building Transportation Performance Monitoring Study.</t>
  </si>
  <si>
    <t>The "Resident Data" tab presents summary data from the travel-survey questionnaires distributed to the residents of 16 buildings. Not that surveys were not conducted simultaneously. Sample sizes are presented for each table.</t>
  </si>
  <si>
    <t>For more information about the study and its results , please contact</t>
  </si>
  <si>
    <t>mmcmahon@arlingtonva.us</t>
  </si>
  <si>
    <t>stephen.crim@mobilitylab.org</t>
  </si>
  <si>
    <t>For the full study report and other materials, see</t>
  </si>
  <si>
    <t>http://mobilitylab.org/2013/10/09/residential-building-transportation-performance-monitoring-study/</t>
  </si>
  <si>
    <t>Melissa McMahon, TDM Field Coordinator, Arlington County Community Services</t>
  </si>
  <si>
    <t>Stephen Crim, Research Director, Mobility Lab</t>
  </si>
  <si>
    <t>The "Building Data" tab presents variables collected for each of the 16 buildings included in the study. Row 2 provides a data dictionary for each of the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</si>
</sst>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</numFmts>
  <fonts count="20" x14ac:knownFonts="1">
    <font>
      <sz val="11"/>
      <color theme="1"/>
      <name val="Myriad Pro"/>
      <family val="2"/>
    </font>
    <font>
      <sz val="11"/>
      <color theme="1"/>
      <name val="Century Gothic"/>
      <family val="2"/>
    </font>
    <font>
      <i/>
      <u/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theme="1"/>
      <name val="Myriad Pro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/>
      <sz val="10"/>
      <color theme="1"/>
      <name val="Century Gothic"/>
      <family val="2"/>
    </font>
    <font>
      <i/>
      <u/>
      <sz val="11"/>
      <color theme="1"/>
      <name val="Century Gothic"/>
      <family val="2"/>
    </font>
    <font>
      <sz val="10"/>
      <color theme="1"/>
      <name val="Myriad Pro"/>
      <family val="2"/>
    </font>
    <font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i/>
      <sz val="16"/>
      <color theme="1"/>
      <name val="Century Gothic"/>
      <family val="2"/>
    </font>
    <font>
      <b/>
      <i/>
      <sz val="16"/>
      <color theme="1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theme="1"/>
      <name val="Myriad Pro"/>
      <family val="2"/>
    </font>
    <font>
      <u/>
      <sz val="11"/>
      <color theme="10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/>
    <xf numFmtId="9" fontId="0" fillId="0" borderId="0" xfId="0" applyNumberFormat="1"/>
    <xf numFmtId="0" fontId="3" fillId="0" borderId="0" xfId="0" applyFont="1"/>
    <xf numFmtId="0" fontId="5" fillId="0" borderId="0" xfId="0" applyFont="1"/>
    <xf numFmtId="6" fontId="0" fillId="0" borderId="0" xfId="0" applyNumberFormat="1"/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2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3" xfId="0" applyFont="1" applyBorder="1"/>
    <xf numFmtId="0" fontId="4" fillId="0" borderId="4" xfId="0" applyFont="1" applyBorder="1"/>
    <xf numFmtId="3" fontId="0" fillId="0" borderId="0" xfId="0" applyNumberFormat="1"/>
    <xf numFmtId="16" fontId="0" fillId="0" borderId="0" xfId="0" applyNumberFormat="1"/>
    <xf numFmtId="0" fontId="4" fillId="0" borderId="0" xfId="0" applyFont="1"/>
    <xf numFmtId="0" fontId="0" fillId="0" borderId="0" xfId="0" applyFont="1"/>
    <xf numFmtId="0" fontId="4" fillId="0" borderId="1" xfId="0" applyFont="1" applyBorder="1" applyAlignment="1">
      <alignment horizontal="left" vertical="top"/>
    </xf>
    <xf numFmtId="0" fontId="4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3" fillId="0" borderId="1" xfId="0" applyFont="1" applyBorder="1" applyAlignment="1">
      <alignment horizontal="left" vertical="top"/>
    </xf>
    <xf numFmtId="6" fontId="4" fillId="0" borderId="1" xfId="0" applyNumberFormat="1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9" fontId="0" fillId="0" borderId="8" xfId="0" applyNumberFormat="1" applyBorder="1"/>
    <xf numFmtId="9" fontId="0" fillId="0" borderId="9" xfId="0" applyNumberFormat="1" applyBorder="1"/>
    <xf numFmtId="9" fontId="0" fillId="0" borderId="2" xfId="0" applyNumberFormat="1" applyBorder="1"/>
    <xf numFmtId="0" fontId="3" fillId="0" borderId="1" xfId="0" applyFont="1" applyBorder="1"/>
    <xf numFmtId="9" fontId="3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2" fillId="0" borderId="0" xfId="1" applyFont="1" applyFill="1" applyBorder="1"/>
    <xf numFmtId="9" fontId="12" fillId="0" borderId="0" xfId="2" applyFont="1" applyFill="1" applyBorder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12" fillId="0" borderId="0" xfId="1" applyFont="1" applyFill="1" applyBorder="1" applyAlignment="1">
      <alignment wrapText="1"/>
    </xf>
    <xf numFmtId="9" fontId="12" fillId="0" borderId="0" xfId="1" applyNumberFormat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6" fontId="12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1" fontId="12" fillId="0" borderId="0" xfId="3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9" fontId="12" fillId="0" borderId="0" xfId="1" applyNumberFormat="1" applyFont="1" applyFill="1" applyBorder="1" applyAlignment="1">
      <alignment horizontal="center" wrapText="1"/>
    </xf>
    <xf numFmtId="9" fontId="12" fillId="0" borderId="0" xfId="2" applyFont="1" applyFill="1" applyBorder="1" applyAlignment="1">
      <alignment horizontal="center" wrapText="1"/>
    </xf>
    <xf numFmtId="6" fontId="12" fillId="0" borderId="0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164" fontId="12" fillId="0" borderId="0" xfId="1" applyNumberFormat="1" applyFont="1" applyFill="1" applyBorder="1" applyAlignment="1">
      <alignment horizontal="center" wrapText="1"/>
    </xf>
    <xf numFmtId="2" fontId="12" fillId="0" borderId="0" xfId="1" applyNumberFormat="1" applyFont="1" applyFill="1" applyBorder="1" applyAlignment="1">
      <alignment horizont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 applyProtection="1">
      <alignment vertical="center" wrapText="1"/>
    </xf>
    <xf numFmtId="9" fontId="14" fillId="0" borderId="0" xfId="2" applyFont="1" applyFill="1" applyBorder="1" applyAlignment="1" applyProtection="1">
      <alignment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 applyProtection="1">
      <alignment vertical="center" wrapText="1"/>
    </xf>
    <xf numFmtId="9" fontId="13" fillId="0" borderId="0" xfId="2" applyFont="1" applyFill="1" applyBorder="1" applyAlignment="1" applyProtection="1">
      <alignment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49" fontId="0" fillId="0" borderId="0" xfId="0" applyNumberFormat="1"/>
    <xf numFmtId="0" fontId="18" fillId="0" borderId="0" xfId="0" applyFont="1"/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0" xfId="4"/>
  </cellXfs>
  <cellStyles count="5">
    <cellStyle name="Currency 2" xfId="3"/>
    <cellStyle name="Hyperlink" xfId="4" builtinId="8"/>
    <cellStyle name="Normal" xfId="0" builtinId="0"/>
    <cellStyle name="Normal 2" xfId="1"/>
    <cellStyle name="Percent 2" xfId="2"/>
  </cellStyles>
  <dxfs count="8">
    <dxf>
      <numFmt numFmtId="13" formatCode="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3</xdr:col>
      <xdr:colOff>533019</xdr:colOff>
      <xdr:row>7</xdr:row>
      <xdr:rowOff>3810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2523744" cy="12801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5:D10" totalsRowShown="0" headerRowDxfId="7" headerRowBorderDxfId="6" tableBorderDxfId="5" totalsRowBorderDxfId="4">
  <autoFilter ref="A5:D10">
    <filterColumn colId="0" hiddenButton="1"/>
    <filterColumn colId="1" hiddenButton="1"/>
    <filterColumn colId="2" hiddenButton="1"/>
    <filterColumn colId="3" hiddenButton="1"/>
  </autoFilter>
  <tableColumns count="4">
    <tableColumn id="1" name="Mode" dataDxfId="3"/>
    <tableColumn id="2" name="Study Residents" dataDxfId="2"/>
    <tableColumn id="3" name="All Arlington Residents" dataDxfId="1"/>
    <tableColumn id="4" name="Reg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bilitylab.org/2013/10/09/residential-building-transportation-performance-monitoring-study/" TargetMode="External"/><Relationship Id="rId2" Type="http://schemas.openxmlformats.org/officeDocument/2006/relationships/hyperlink" Target="mailto:stephen.crim@mobilitylab.org" TargetMode="External"/><Relationship Id="rId1" Type="http://schemas.openxmlformats.org/officeDocument/2006/relationships/hyperlink" Target="mailto:mmcmahon@arlingtonva.u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0"/>
  <sheetViews>
    <sheetView tabSelected="1" workbookViewId="0">
      <selection activeCell="M11" sqref="M11"/>
    </sheetView>
  </sheetViews>
  <sheetFormatPr defaultRowHeight="15" x14ac:dyDescent="0.25"/>
  <sheetData>
    <row r="9" spans="2:8" ht="20.25" x14ac:dyDescent="0.3">
      <c r="B9" s="76" t="s">
        <v>393</v>
      </c>
    </row>
    <row r="10" spans="2:8" x14ac:dyDescent="0.25">
      <c r="B10" s="75" t="s">
        <v>394</v>
      </c>
    </row>
    <row r="11" spans="2:8" ht="51.75" customHeight="1" x14ac:dyDescent="0.25">
      <c r="B11" s="78" t="s">
        <v>395</v>
      </c>
      <c r="C11" s="78"/>
      <c r="D11" s="78"/>
      <c r="E11" s="78"/>
      <c r="F11" s="78"/>
      <c r="G11" s="78"/>
      <c r="H11" s="78"/>
    </row>
    <row r="12" spans="2:8" s="10" customFormat="1" ht="51.75" customHeight="1" x14ac:dyDescent="0.25">
      <c r="B12" s="78" t="s">
        <v>404</v>
      </c>
      <c r="C12" s="78"/>
      <c r="D12" s="78"/>
      <c r="E12" s="78"/>
      <c r="F12" s="78"/>
      <c r="G12" s="78"/>
      <c r="H12" s="78"/>
    </row>
    <row r="13" spans="2:8" s="10" customFormat="1" ht="51.75" customHeight="1" x14ac:dyDescent="0.25">
      <c r="B13" s="78" t="s">
        <v>396</v>
      </c>
      <c r="C13" s="78"/>
      <c r="D13" s="78"/>
      <c r="E13" s="78"/>
      <c r="F13" s="78"/>
      <c r="G13" s="78"/>
      <c r="H13" s="78"/>
    </row>
    <row r="15" spans="2:8" x14ac:dyDescent="0.25">
      <c r="B15" s="18" t="s">
        <v>397</v>
      </c>
    </row>
    <row r="16" spans="2:8" ht="15.75" customHeight="1" x14ac:dyDescent="0.25">
      <c r="B16" s="77" t="s">
        <v>402</v>
      </c>
      <c r="C16" s="77"/>
      <c r="D16" s="77"/>
      <c r="E16" s="77"/>
      <c r="F16" s="77"/>
      <c r="G16" s="77"/>
      <c r="H16" s="80" t="s">
        <v>398</v>
      </c>
    </row>
    <row r="17" spans="2:8" x14ac:dyDescent="0.25">
      <c r="B17" s="79" t="s">
        <v>403</v>
      </c>
      <c r="C17" s="79"/>
      <c r="D17" s="79"/>
      <c r="E17" s="79"/>
      <c r="F17" s="79"/>
      <c r="G17" s="79"/>
      <c r="H17" s="80" t="s">
        <v>399</v>
      </c>
    </row>
    <row r="19" spans="2:8" x14ac:dyDescent="0.25">
      <c r="B19" s="18" t="s">
        <v>400</v>
      </c>
    </row>
    <row r="20" spans="2:8" x14ac:dyDescent="0.25">
      <c r="B20" s="80" t="s">
        <v>401</v>
      </c>
    </row>
  </sheetData>
  <sheetProtection algorithmName="SHA-512" hashValue="/Du4I6gnc/4zg8vApmO+JA3q0xQlllnw5+xsTG/ObSU6x4jypTVmHYOFC+WhE0nBqXw0EMmDyjVsuqOx+ZA2Fw==" saltValue="pRjrH3+lal1V2rCVUF4tiQ==" spinCount="100000" sheet="1" objects="1" scenarios="1"/>
  <mergeCells count="5">
    <mergeCell ref="B12:H12"/>
    <mergeCell ref="B13:H13"/>
    <mergeCell ref="B11:H11"/>
    <mergeCell ref="B16:G16"/>
    <mergeCell ref="B17:G17"/>
  </mergeCells>
  <hyperlinks>
    <hyperlink ref="H16" r:id="rId1"/>
    <hyperlink ref="H17" r:id="rId2"/>
    <hyperlink ref="B20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31"/>
  <sheetViews>
    <sheetView zoomScale="55" zoomScaleNormal="55" workbookViewId="0">
      <pane xSplit="1" topLeftCell="B1" activePane="topRight" state="frozen"/>
      <selection pane="topRight" activeCell="G2" sqref="G2"/>
    </sheetView>
  </sheetViews>
  <sheetFormatPr defaultRowHeight="20.25" x14ac:dyDescent="0.3"/>
  <cols>
    <col min="1" max="2" width="18.875" style="42" customWidth="1"/>
    <col min="3" max="30" width="18.875" style="38" customWidth="1"/>
    <col min="31" max="31" width="15.5" style="38" customWidth="1"/>
    <col min="32" max="32" width="14.25" style="38" customWidth="1"/>
    <col min="33" max="42" width="18.875" style="38" customWidth="1"/>
    <col min="43" max="45" width="15.5" style="38" customWidth="1"/>
    <col min="46" max="46" width="32.25" style="38" customWidth="1"/>
    <col min="47" max="47" width="19.75" style="38" customWidth="1"/>
    <col min="48" max="49" width="18.875" style="38" customWidth="1"/>
    <col min="50" max="50" width="40.375" style="38" customWidth="1"/>
    <col min="51" max="52" width="23.125" style="38" customWidth="1"/>
    <col min="53" max="53" width="19.125" style="40" customWidth="1"/>
    <col min="54" max="56" width="23.125" style="40" customWidth="1"/>
    <col min="57" max="58" width="23.125" style="41" customWidth="1"/>
    <col min="59" max="64" width="23.125" style="40" customWidth="1"/>
    <col min="65" max="65" width="15.625" style="38" bestFit="1" customWidth="1"/>
    <col min="66" max="72" width="23.125" style="38" customWidth="1"/>
    <col min="73" max="83" width="18.875" style="38" customWidth="1"/>
    <col min="84" max="84" width="18.875" style="39" customWidth="1"/>
    <col min="85" max="98" width="18.875" style="38" customWidth="1"/>
    <col min="99" max="99" width="13.625" style="38" customWidth="1"/>
    <col min="100" max="16384" width="9" style="38"/>
  </cols>
  <sheetData>
    <row r="1" spans="1:99" s="68" customFormat="1" ht="101.25" x14ac:dyDescent="0.25">
      <c r="A1" s="74" t="s">
        <v>392</v>
      </c>
      <c r="B1" s="74" t="s">
        <v>391</v>
      </c>
      <c r="C1" s="74" t="s">
        <v>390</v>
      </c>
      <c r="D1" s="74" t="s">
        <v>389</v>
      </c>
      <c r="E1" s="72" t="s">
        <v>388</v>
      </c>
      <c r="F1" s="72" t="s">
        <v>387</v>
      </c>
      <c r="G1" s="72" t="s">
        <v>386</v>
      </c>
      <c r="H1" s="72" t="s">
        <v>385</v>
      </c>
      <c r="I1" s="72" t="s">
        <v>384</v>
      </c>
      <c r="J1" s="72" t="s">
        <v>383</v>
      </c>
      <c r="K1" s="72" t="s">
        <v>382</v>
      </c>
      <c r="L1" s="72" t="s">
        <v>381</v>
      </c>
      <c r="M1" s="72" t="s">
        <v>380</v>
      </c>
      <c r="N1" s="72" t="s">
        <v>379</v>
      </c>
      <c r="O1" s="72" t="s">
        <v>378</v>
      </c>
      <c r="P1" s="72" t="s">
        <v>377</v>
      </c>
      <c r="Q1" s="72" t="s">
        <v>376</v>
      </c>
      <c r="R1" s="72" t="s">
        <v>375</v>
      </c>
      <c r="S1" s="72" t="s">
        <v>374</v>
      </c>
      <c r="T1" s="72" t="s">
        <v>373</v>
      </c>
      <c r="U1" s="72" t="s">
        <v>372</v>
      </c>
      <c r="V1" s="72" t="s">
        <v>371</v>
      </c>
      <c r="W1" s="72" t="s">
        <v>370</v>
      </c>
      <c r="X1" s="72" t="s">
        <v>369</v>
      </c>
      <c r="Y1" s="72" t="s">
        <v>368</v>
      </c>
      <c r="Z1" s="72" t="s">
        <v>367</v>
      </c>
      <c r="AA1" s="72" t="s">
        <v>366</v>
      </c>
      <c r="AB1" s="72" t="s">
        <v>365</v>
      </c>
      <c r="AC1" s="72" t="s">
        <v>364</v>
      </c>
      <c r="AD1" s="73" t="s">
        <v>363</v>
      </c>
      <c r="AE1" s="68" t="s">
        <v>362</v>
      </c>
      <c r="AF1" s="73" t="s">
        <v>361</v>
      </c>
      <c r="AG1" s="72" t="s">
        <v>360</v>
      </c>
      <c r="AH1" s="72" t="s">
        <v>359</v>
      </c>
      <c r="AI1" s="72" t="s">
        <v>358</v>
      </c>
      <c r="AJ1" s="72" t="s">
        <v>357</v>
      </c>
      <c r="AK1" s="72" t="s">
        <v>356</v>
      </c>
      <c r="AL1" s="72" t="s">
        <v>184</v>
      </c>
      <c r="AM1" s="72" t="s">
        <v>182</v>
      </c>
      <c r="AN1" s="72" t="s">
        <v>355</v>
      </c>
      <c r="AO1" s="72" t="s">
        <v>354</v>
      </c>
      <c r="AP1" s="72" t="s">
        <v>353</v>
      </c>
      <c r="AQ1" s="68" t="s">
        <v>352</v>
      </c>
      <c r="AR1" s="68" t="s">
        <v>351</v>
      </c>
      <c r="AS1" s="68" t="s">
        <v>350</v>
      </c>
      <c r="AT1" s="72" t="s">
        <v>349</v>
      </c>
      <c r="AU1" s="72" t="s">
        <v>348</v>
      </c>
      <c r="AV1" s="72" t="s">
        <v>347</v>
      </c>
      <c r="AW1" s="72" t="s">
        <v>346</v>
      </c>
      <c r="AX1" s="72" t="s">
        <v>345</v>
      </c>
      <c r="AY1" s="72" t="s">
        <v>344</v>
      </c>
      <c r="AZ1" s="71" t="s">
        <v>343</v>
      </c>
      <c r="BA1" s="71" t="s">
        <v>342</v>
      </c>
      <c r="BB1" s="53" t="s">
        <v>341</v>
      </c>
      <c r="BC1" s="53" t="s">
        <v>340</v>
      </c>
      <c r="BD1" s="53" t="s">
        <v>339</v>
      </c>
      <c r="BE1" s="53" t="s">
        <v>338</v>
      </c>
      <c r="BF1" s="53" t="s">
        <v>337</v>
      </c>
      <c r="BG1" s="53" t="s">
        <v>336</v>
      </c>
      <c r="BH1" s="53" t="s">
        <v>335</v>
      </c>
      <c r="BI1" s="53" t="s">
        <v>334</v>
      </c>
      <c r="BJ1" s="53" t="s">
        <v>333</v>
      </c>
      <c r="BK1" s="53" t="s">
        <v>332</v>
      </c>
      <c r="BL1" s="53" t="s">
        <v>331</v>
      </c>
      <c r="BM1" s="53" t="s">
        <v>330</v>
      </c>
      <c r="BN1" s="71" t="s">
        <v>329</v>
      </c>
      <c r="BO1" s="71" t="s">
        <v>328</v>
      </c>
      <c r="BP1" s="71" t="s">
        <v>327</v>
      </c>
      <c r="BQ1" s="71" t="s">
        <v>326</v>
      </c>
      <c r="BR1" s="71" t="s">
        <v>325</v>
      </c>
      <c r="BS1" s="71" t="s">
        <v>324</v>
      </c>
      <c r="BT1" s="71" t="s">
        <v>323</v>
      </c>
      <c r="BU1" s="69" t="s">
        <v>322</v>
      </c>
      <c r="BV1" s="69" t="s">
        <v>321</v>
      </c>
      <c r="BW1" s="69" t="s">
        <v>320</v>
      </c>
      <c r="BX1" s="69" t="s">
        <v>319</v>
      </c>
      <c r="BY1" s="69" t="s">
        <v>318</v>
      </c>
      <c r="BZ1" s="69" t="s">
        <v>317</v>
      </c>
      <c r="CA1" s="69" t="s">
        <v>316</v>
      </c>
      <c r="CB1" s="69" t="s">
        <v>315</v>
      </c>
      <c r="CC1" s="69" t="s">
        <v>314</v>
      </c>
      <c r="CD1" s="69" t="s">
        <v>313</v>
      </c>
      <c r="CE1" s="69" t="s">
        <v>312</v>
      </c>
      <c r="CF1" s="70" t="s">
        <v>311</v>
      </c>
      <c r="CG1" s="69" t="s">
        <v>310</v>
      </c>
      <c r="CH1" s="69" t="s">
        <v>309</v>
      </c>
      <c r="CI1" s="69" t="s">
        <v>308</v>
      </c>
      <c r="CJ1" s="69" t="s">
        <v>307</v>
      </c>
      <c r="CK1" s="69" t="s">
        <v>306</v>
      </c>
      <c r="CL1" s="69" t="s">
        <v>305</v>
      </c>
      <c r="CM1" s="69" t="s">
        <v>304</v>
      </c>
      <c r="CN1" s="69" t="s">
        <v>303</v>
      </c>
      <c r="CO1" s="69" t="s">
        <v>302</v>
      </c>
      <c r="CP1" s="69" t="s">
        <v>301</v>
      </c>
      <c r="CQ1" s="69" t="s">
        <v>300</v>
      </c>
      <c r="CR1" s="69" t="s">
        <v>299</v>
      </c>
      <c r="CS1" s="69" t="s">
        <v>298</v>
      </c>
      <c r="CT1" s="69" t="s">
        <v>297</v>
      </c>
      <c r="CU1" s="69" t="s">
        <v>296</v>
      </c>
    </row>
    <row r="2" spans="1:99" s="61" customFormat="1" ht="253.5" x14ac:dyDescent="0.25">
      <c r="A2" s="67" t="s">
        <v>295</v>
      </c>
      <c r="B2" s="67"/>
      <c r="C2" s="66" t="s">
        <v>294</v>
      </c>
      <c r="D2" s="66" t="s">
        <v>293</v>
      </c>
      <c r="E2" s="66" t="s">
        <v>292</v>
      </c>
      <c r="F2" s="66" t="s">
        <v>291</v>
      </c>
      <c r="G2" s="66" t="s">
        <v>290</v>
      </c>
      <c r="H2" s="66"/>
      <c r="I2" s="66" t="s">
        <v>289</v>
      </c>
      <c r="J2" s="66" t="s">
        <v>288</v>
      </c>
      <c r="K2" s="66" t="s">
        <v>287</v>
      </c>
      <c r="L2" s="66" t="s">
        <v>286</v>
      </c>
      <c r="M2" s="66" t="s">
        <v>285</v>
      </c>
      <c r="N2" s="66" t="s">
        <v>284</v>
      </c>
      <c r="O2" s="66" t="s">
        <v>283</v>
      </c>
      <c r="P2" s="66" t="s">
        <v>282</v>
      </c>
      <c r="Q2" s="66" t="s">
        <v>281</v>
      </c>
      <c r="R2" s="66" t="s">
        <v>280</v>
      </c>
      <c r="S2" s="66" t="s">
        <v>279</v>
      </c>
      <c r="T2" s="66" t="s">
        <v>278</v>
      </c>
      <c r="U2" s="66"/>
      <c r="V2" s="66" t="s">
        <v>277</v>
      </c>
      <c r="W2" s="66" t="s">
        <v>276</v>
      </c>
      <c r="X2" s="66" t="s">
        <v>275</v>
      </c>
      <c r="Y2" s="66" t="s">
        <v>274</v>
      </c>
      <c r="Z2" s="66" t="s">
        <v>273</v>
      </c>
      <c r="AA2" s="66" t="s">
        <v>272</v>
      </c>
      <c r="AB2" s="66" t="s">
        <v>271</v>
      </c>
      <c r="AC2" s="66" t="s">
        <v>270</v>
      </c>
      <c r="AD2" s="64" t="s">
        <v>269</v>
      </c>
      <c r="AE2" s="61" t="s">
        <v>268</v>
      </c>
      <c r="AF2" s="64" t="s">
        <v>267</v>
      </c>
      <c r="AG2" s="66" t="s">
        <v>266</v>
      </c>
      <c r="AH2" s="66" t="s">
        <v>265</v>
      </c>
      <c r="AI2" s="66" t="s">
        <v>264</v>
      </c>
      <c r="AJ2" s="66" t="s">
        <v>263</v>
      </c>
      <c r="AK2" s="66" t="s">
        <v>262</v>
      </c>
      <c r="AL2" s="66" t="s">
        <v>261</v>
      </c>
      <c r="AM2" s="66" t="s">
        <v>260</v>
      </c>
      <c r="AN2" s="66" t="s">
        <v>259</v>
      </c>
      <c r="AO2" s="66" t="s">
        <v>258</v>
      </c>
      <c r="AP2" s="66" t="s">
        <v>257</v>
      </c>
      <c r="AQ2" s="61" t="s">
        <v>256</v>
      </c>
      <c r="AR2" s="61" t="s">
        <v>255</v>
      </c>
      <c r="AS2" s="61" t="s">
        <v>254</v>
      </c>
      <c r="AT2" s="66" t="s">
        <v>253</v>
      </c>
      <c r="AU2" s="66" t="s">
        <v>252</v>
      </c>
      <c r="AV2" s="62" t="s">
        <v>251</v>
      </c>
      <c r="AW2" s="62"/>
      <c r="AX2" s="66" t="s">
        <v>250</v>
      </c>
      <c r="AY2" s="66" t="s">
        <v>249</v>
      </c>
      <c r="AZ2" s="64" t="s">
        <v>248</v>
      </c>
      <c r="BA2" s="64" t="s">
        <v>248</v>
      </c>
      <c r="BB2" s="65" t="s">
        <v>247</v>
      </c>
      <c r="BC2" s="65" t="s">
        <v>246</v>
      </c>
      <c r="BD2" s="65" t="s">
        <v>245</v>
      </c>
      <c r="BE2" s="65" t="s">
        <v>244</v>
      </c>
      <c r="BF2" s="65" t="s">
        <v>243</v>
      </c>
      <c r="BG2" s="65" t="s">
        <v>242</v>
      </c>
      <c r="BH2" s="65" t="s">
        <v>241</v>
      </c>
      <c r="BI2" s="65" t="s">
        <v>240</v>
      </c>
      <c r="BJ2" s="65" t="s">
        <v>239</v>
      </c>
      <c r="BK2" s="65" t="s">
        <v>238</v>
      </c>
      <c r="BL2" s="65" t="s">
        <v>237</v>
      </c>
      <c r="BM2" s="65" t="s">
        <v>236</v>
      </c>
      <c r="BN2" s="64" t="s">
        <v>235</v>
      </c>
      <c r="BO2" s="64" t="s">
        <v>235</v>
      </c>
      <c r="BP2" s="64" t="s">
        <v>235</v>
      </c>
      <c r="BQ2" s="64" t="s">
        <v>235</v>
      </c>
      <c r="BR2" s="64" t="s">
        <v>235</v>
      </c>
      <c r="BS2" s="64" t="s">
        <v>235</v>
      </c>
      <c r="BT2" s="64" t="s">
        <v>235</v>
      </c>
      <c r="BU2" s="62" t="s">
        <v>234</v>
      </c>
      <c r="BV2" s="62" t="s">
        <v>233</v>
      </c>
      <c r="BW2" s="62" t="s">
        <v>232</v>
      </c>
      <c r="BX2" s="62" t="s">
        <v>231</v>
      </c>
      <c r="BY2" s="62" t="s">
        <v>230</v>
      </c>
      <c r="BZ2" s="62" t="s">
        <v>229</v>
      </c>
      <c r="CA2" s="62" t="s">
        <v>228</v>
      </c>
      <c r="CB2" s="62" t="s">
        <v>227</v>
      </c>
      <c r="CC2" s="62" t="s">
        <v>226</v>
      </c>
      <c r="CD2" s="62" t="s">
        <v>225</v>
      </c>
      <c r="CE2" s="62" t="s">
        <v>224</v>
      </c>
      <c r="CF2" s="63"/>
      <c r="CG2" s="62" t="s">
        <v>223</v>
      </c>
      <c r="CH2" s="62" t="s">
        <v>222</v>
      </c>
      <c r="CI2" s="62" t="s">
        <v>221</v>
      </c>
      <c r="CJ2" s="62" t="s">
        <v>220</v>
      </c>
      <c r="CK2" s="62" t="s">
        <v>219</v>
      </c>
      <c r="CL2" s="62" t="s">
        <v>218</v>
      </c>
      <c r="CM2" s="62" t="s">
        <v>217</v>
      </c>
      <c r="CN2" s="62" t="s">
        <v>216</v>
      </c>
      <c r="CO2" s="62" t="s">
        <v>215</v>
      </c>
      <c r="CP2" s="62" t="s">
        <v>214</v>
      </c>
      <c r="CQ2" s="62" t="s">
        <v>213</v>
      </c>
      <c r="CR2" s="62" t="s">
        <v>212</v>
      </c>
      <c r="CS2" s="62" t="s">
        <v>211</v>
      </c>
      <c r="CT2" s="62" t="s">
        <v>210</v>
      </c>
      <c r="CU2" s="62" t="s">
        <v>209</v>
      </c>
    </row>
    <row r="3" spans="1:99" s="54" customFormat="1" ht="33" customHeight="1" x14ac:dyDescent="0.25">
      <c r="A3" s="53" t="s">
        <v>208</v>
      </c>
      <c r="B3" s="48">
        <v>232</v>
      </c>
      <c r="C3" s="48">
        <v>1</v>
      </c>
      <c r="D3" s="48">
        <v>2</v>
      </c>
      <c r="E3" s="48">
        <v>79</v>
      </c>
      <c r="F3" s="48">
        <v>79</v>
      </c>
      <c r="G3" s="48">
        <v>146</v>
      </c>
      <c r="H3" s="50">
        <f t="shared" ref="H3:H18" si="0">G3/F3</f>
        <v>1.8481012658227849</v>
      </c>
      <c r="I3" s="45">
        <v>0.15</v>
      </c>
      <c r="J3" s="45">
        <v>0.54</v>
      </c>
      <c r="K3" s="50">
        <v>1.99</v>
      </c>
      <c r="L3" s="50">
        <v>1.86</v>
      </c>
      <c r="M3" s="50">
        <v>1.53</v>
      </c>
      <c r="N3" s="50">
        <v>0.82</v>
      </c>
      <c r="O3" s="49">
        <v>51.7</v>
      </c>
      <c r="P3" s="47">
        <v>155800</v>
      </c>
      <c r="Q3" s="45">
        <v>0.51</v>
      </c>
      <c r="R3" s="45">
        <v>0.79</v>
      </c>
      <c r="S3" s="48">
        <v>1</v>
      </c>
      <c r="T3" s="51">
        <v>2</v>
      </c>
      <c r="U3" s="51">
        <v>132</v>
      </c>
      <c r="V3" s="50">
        <f>112/79</f>
        <v>1.4177215189873418</v>
      </c>
      <c r="W3" s="50">
        <f>112/146</f>
        <v>0.76712328767123283</v>
      </c>
      <c r="X3" s="48">
        <v>1</v>
      </c>
      <c r="Y3" s="48">
        <v>2</v>
      </c>
      <c r="Z3" s="47">
        <v>30</v>
      </c>
      <c r="AA3" s="48">
        <v>2</v>
      </c>
      <c r="AB3" s="48">
        <v>1</v>
      </c>
      <c r="AC3" s="48">
        <v>1</v>
      </c>
      <c r="AD3" s="50">
        <f>26/146</f>
        <v>0.17808219178082191</v>
      </c>
      <c r="AE3" s="48">
        <v>9</v>
      </c>
      <c r="AF3" s="48">
        <v>1</v>
      </c>
      <c r="AG3" s="48">
        <v>0.1</v>
      </c>
      <c r="AH3" s="48">
        <v>0.8</v>
      </c>
      <c r="AI3" s="48">
        <v>0.6</v>
      </c>
      <c r="AJ3" s="48" t="s">
        <v>193</v>
      </c>
      <c r="AK3" s="48">
        <v>0.1</v>
      </c>
      <c r="AL3" s="48">
        <v>91</v>
      </c>
      <c r="AM3" s="48">
        <v>68</v>
      </c>
      <c r="AN3" s="48">
        <v>34.78</v>
      </c>
      <c r="AO3" s="48">
        <v>68.02</v>
      </c>
      <c r="AP3" s="48">
        <v>102.8</v>
      </c>
      <c r="AQ3" s="48">
        <v>4464</v>
      </c>
      <c r="AR3" s="48">
        <v>8731</v>
      </c>
      <c r="AS3" s="49">
        <f t="shared" ref="AS3:AS18" si="1">AQ3/AR3</f>
        <v>0.51128164013285993</v>
      </c>
      <c r="AT3" s="48">
        <v>2</v>
      </c>
      <c r="AU3" s="48">
        <v>2</v>
      </c>
      <c r="AV3" s="58">
        <v>1</v>
      </c>
      <c r="AW3" s="58">
        <v>2</v>
      </c>
      <c r="AX3" s="49">
        <v>2</v>
      </c>
      <c r="AY3" s="45">
        <v>0.31</v>
      </c>
      <c r="AZ3" s="56">
        <v>0.79</v>
      </c>
      <c r="BA3" s="56">
        <v>0.42</v>
      </c>
      <c r="BB3" s="58">
        <v>189.5</v>
      </c>
      <c r="BC3" s="58">
        <v>236</v>
      </c>
      <c r="BD3" s="58">
        <v>171</v>
      </c>
      <c r="BE3" s="58">
        <v>127</v>
      </c>
      <c r="BF3" s="50">
        <f t="shared" ref="BF3:BF18" si="2">BB3/F3</f>
        <v>2.3987341772151898</v>
      </c>
      <c r="BG3" s="50">
        <f t="shared" ref="BG3:BG18" si="3">BC3/F3</f>
        <v>2.9873417721518987</v>
      </c>
      <c r="BH3" s="50">
        <f t="shared" ref="BH3:BH18" si="4">BD3/F3</f>
        <v>2.1645569620253164</v>
      </c>
      <c r="BI3" s="50">
        <f t="shared" ref="BI3:BI18" si="5">BE3/F3</f>
        <v>1.6075949367088607</v>
      </c>
      <c r="BJ3" s="50">
        <f t="shared" ref="BJ3:BJ18" si="6">BB3/G3</f>
        <v>1.297945205479452</v>
      </c>
      <c r="BK3" s="50">
        <f t="shared" ref="BK3:BK18" si="7">BC3/G3</f>
        <v>1.6164383561643836</v>
      </c>
      <c r="BL3" s="50">
        <f t="shared" ref="BL3:BL18" si="8">BD3/G3</f>
        <v>1.1712328767123288</v>
      </c>
      <c r="BM3" s="50">
        <f t="shared" ref="BM3:BM18" si="9">BE3/G3</f>
        <v>0.86986301369863017</v>
      </c>
      <c r="BN3" s="60">
        <v>84.14</v>
      </c>
      <c r="BO3" s="60">
        <v>75.319999999999993</v>
      </c>
      <c r="BP3" s="60">
        <v>72.33</v>
      </c>
      <c r="BQ3" s="60">
        <v>67.510000000000005</v>
      </c>
      <c r="BR3" s="60">
        <v>52.32</v>
      </c>
      <c r="BS3" s="60">
        <v>50.29</v>
      </c>
      <c r="BT3" s="60">
        <v>46.86</v>
      </c>
      <c r="BU3" s="55">
        <v>0.51</v>
      </c>
      <c r="BV3" s="55">
        <v>0.54</v>
      </c>
      <c r="BW3" s="55">
        <v>0.04</v>
      </c>
      <c r="BX3" s="55">
        <v>0.27</v>
      </c>
      <c r="BY3" s="55">
        <v>0.01</v>
      </c>
      <c r="BZ3" s="55">
        <v>0.08</v>
      </c>
      <c r="CA3" s="55">
        <v>0.05</v>
      </c>
      <c r="CB3" s="59">
        <v>6.9</v>
      </c>
      <c r="CC3" s="58">
        <v>25</v>
      </c>
      <c r="CD3" s="55">
        <v>0.68</v>
      </c>
      <c r="CE3" s="57">
        <v>191</v>
      </c>
      <c r="CF3" s="56">
        <v>0.68</v>
      </c>
      <c r="CG3" s="55">
        <v>0.62</v>
      </c>
      <c r="CH3" s="55">
        <v>0.38</v>
      </c>
      <c r="CI3" s="55">
        <v>0.38</v>
      </c>
      <c r="CJ3" s="55">
        <v>0.72</v>
      </c>
      <c r="CK3" s="55">
        <v>0.4</v>
      </c>
      <c r="CL3" s="55">
        <v>0.26</v>
      </c>
      <c r="CM3" s="55">
        <v>0.08</v>
      </c>
      <c r="CN3" s="55">
        <v>0.26</v>
      </c>
      <c r="CO3" s="55">
        <v>0</v>
      </c>
      <c r="CP3" s="55">
        <v>0.96</v>
      </c>
      <c r="CQ3" s="55">
        <v>0.88</v>
      </c>
      <c r="CR3" s="55">
        <v>0.81</v>
      </c>
      <c r="CS3" s="55">
        <v>0.32</v>
      </c>
      <c r="CT3" s="55">
        <v>0.88</v>
      </c>
      <c r="CU3" s="55">
        <v>0.52</v>
      </c>
    </row>
    <row r="4" spans="1:99" s="44" customFormat="1" x14ac:dyDescent="0.25">
      <c r="A4" s="53" t="s">
        <v>207</v>
      </c>
      <c r="B4" s="48">
        <v>232</v>
      </c>
      <c r="C4" s="48">
        <v>1</v>
      </c>
      <c r="D4" s="48">
        <v>1</v>
      </c>
      <c r="E4" s="48">
        <v>248</v>
      </c>
      <c r="F4" s="48">
        <f>248*0.9</f>
        <v>223.20000000000002</v>
      </c>
      <c r="G4" s="48">
        <v>310</v>
      </c>
      <c r="H4" s="50">
        <f t="shared" si="0"/>
        <v>1.3888888888888888</v>
      </c>
      <c r="I4" s="45">
        <v>0.53</v>
      </c>
      <c r="J4" s="45">
        <v>0.8</v>
      </c>
      <c r="K4" s="50">
        <v>1.9</v>
      </c>
      <c r="L4" s="50">
        <v>1.77</v>
      </c>
      <c r="M4" s="50">
        <v>1.6</v>
      </c>
      <c r="N4" s="50">
        <v>0.94</v>
      </c>
      <c r="O4" s="49">
        <v>51.2</v>
      </c>
      <c r="P4" s="47">
        <v>166200</v>
      </c>
      <c r="Q4" s="45">
        <v>0.51</v>
      </c>
      <c r="R4" s="45">
        <v>0.78</v>
      </c>
      <c r="S4" s="48">
        <v>1</v>
      </c>
      <c r="T4" s="51">
        <v>3</v>
      </c>
      <c r="U4" s="51">
        <v>379</v>
      </c>
      <c r="V4" s="50">
        <f>379/248</f>
        <v>1.528225806451613</v>
      </c>
      <c r="W4" s="50">
        <f>379/310</f>
        <v>1.2225806451612904</v>
      </c>
      <c r="X4" s="48">
        <v>1</v>
      </c>
      <c r="Y4" s="48">
        <v>1</v>
      </c>
      <c r="Z4" s="47">
        <v>0</v>
      </c>
      <c r="AA4" s="48">
        <v>2</v>
      </c>
      <c r="AB4" s="48">
        <v>1</v>
      </c>
      <c r="AC4" s="48">
        <v>2</v>
      </c>
      <c r="AD4" s="50">
        <f>50/310</f>
        <v>0.16129032258064516</v>
      </c>
      <c r="AE4" s="48">
        <v>27</v>
      </c>
      <c r="AF4" s="48">
        <v>1</v>
      </c>
      <c r="AG4" s="48">
        <v>0.2</v>
      </c>
      <c r="AH4" s="48">
        <v>0.5</v>
      </c>
      <c r="AI4" s="48">
        <v>0.2</v>
      </c>
      <c r="AJ4" s="48">
        <v>0.25</v>
      </c>
      <c r="AK4" s="48">
        <v>0.2</v>
      </c>
      <c r="AL4" s="48">
        <v>89</v>
      </c>
      <c r="AM4" s="48">
        <v>71</v>
      </c>
      <c r="AN4" s="48">
        <v>19.649999999999999</v>
      </c>
      <c r="AO4" s="48">
        <v>174.23</v>
      </c>
      <c r="AP4" s="48">
        <v>193.88</v>
      </c>
      <c r="AQ4" s="48">
        <v>2962</v>
      </c>
      <c r="AR4" s="48">
        <v>26263</v>
      </c>
      <c r="AS4" s="49">
        <f t="shared" si="1"/>
        <v>0.11278224117579866</v>
      </c>
      <c r="AT4" s="48">
        <v>2</v>
      </c>
      <c r="AU4" s="48">
        <v>2</v>
      </c>
      <c r="AV4" s="58">
        <v>2</v>
      </c>
      <c r="AW4" s="58">
        <v>5</v>
      </c>
      <c r="AX4" s="49">
        <v>2</v>
      </c>
      <c r="AY4" s="45">
        <v>0.28999999999999998</v>
      </c>
      <c r="AZ4" s="56">
        <v>0.84</v>
      </c>
      <c r="BA4" s="56">
        <v>0.36</v>
      </c>
      <c r="BB4" s="58">
        <v>495</v>
      </c>
      <c r="BC4" s="58">
        <v>528</v>
      </c>
      <c r="BD4" s="58">
        <v>461</v>
      </c>
      <c r="BE4" s="58">
        <v>394</v>
      </c>
      <c r="BF4" s="50">
        <f t="shared" si="2"/>
        <v>2.217741935483871</v>
      </c>
      <c r="BG4" s="50">
        <f t="shared" si="3"/>
        <v>2.365591397849462</v>
      </c>
      <c r="BH4" s="50">
        <f t="shared" si="4"/>
        <v>2.0654121863799282</v>
      </c>
      <c r="BI4" s="50">
        <f t="shared" si="5"/>
        <v>1.7652329749103941</v>
      </c>
      <c r="BJ4" s="50">
        <f t="shared" si="6"/>
        <v>1.596774193548387</v>
      </c>
      <c r="BK4" s="50">
        <f t="shared" si="7"/>
        <v>1.7032258064516128</v>
      </c>
      <c r="BL4" s="50">
        <f t="shared" si="8"/>
        <v>1.4870967741935484</v>
      </c>
      <c r="BM4" s="50">
        <f t="shared" si="9"/>
        <v>1.2709677419354839</v>
      </c>
      <c r="BN4" s="60">
        <v>59.3</v>
      </c>
      <c r="BO4" s="60">
        <v>52.35</v>
      </c>
      <c r="BP4" s="60">
        <v>52.48</v>
      </c>
      <c r="BQ4" s="60">
        <v>59.74</v>
      </c>
      <c r="BR4" s="60">
        <v>46.72</v>
      </c>
      <c r="BS4" s="60">
        <v>47.92</v>
      </c>
      <c r="BT4" s="60">
        <v>51.46</v>
      </c>
      <c r="BU4" s="55">
        <v>0.36</v>
      </c>
      <c r="BV4" s="55">
        <v>0.48</v>
      </c>
      <c r="BW4" s="55">
        <v>0.04</v>
      </c>
      <c r="BX4" s="55">
        <v>0.35</v>
      </c>
      <c r="BY4" s="55">
        <v>0</v>
      </c>
      <c r="BZ4" s="55">
        <v>0.06</v>
      </c>
      <c r="CA4" s="55">
        <v>0.05</v>
      </c>
      <c r="CB4" s="59">
        <v>8.6</v>
      </c>
      <c r="CC4" s="58">
        <v>23</v>
      </c>
      <c r="CD4" s="55">
        <v>0.55000000000000004</v>
      </c>
      <c r="CE4" s="57">
        <v>210</v>
      </c>
      <c r="CF4" s="56">
        <v>0.66</v>
      </c>
      <c r="CG4" s="55">
        <v>0.51</v>
      </c>
      <c r="CH4" s="55">
        <v>0.49</v>
      </c>
      <c r="CI4" s="55">
        <v>0.49</v>
      </c>
      <c r="CJ4" s="55">
        <v>0.82</v>
      </c>
      <c r="CK4" s="55">
        <v>0.3</v>
      </c>
      <c r="CL4" s="55">
        <v>0.26</v>
      </c>
      <c r="CM4" s="55">
        <v>0.13</v>
      </c>
      <c r="CN4" s="55">
        <v>0.27</v>
      </c>
      <c r="CO4" s="55">
        <v>0.04</v>
      </c>
      <c r="CP4" s="55">
        <v>0.98</v>
      </c>
      <c r="CQ4" s="55">
        <v>0.91</v>
      </c>
      <c r="CR4" s="55">
        <v>0.71</v>
      </c>
      <c r="CS4" s="55">
        <v>0.2</v>
      </c>
      <c r="CT4" s="55">
        <v>0.89</v>
      </c>
      <c r="CU4" s="55">
        <v>0.51</v>
      </c>
    </row>
    <row r="5" spans="1:99" s="44" customFormat="1" ht="35.1" customHeight="1" x14ac:dyDescent="0.25">
      <c r="A5" s="53" t="s">
        <v>206</v>
      </c>
      <c r="B5" s="48">
        <v>222</v>
      </c>
      <c r="C5" s="48">
        <v>1</v>
      </c>
      <c r="D5" s="48">
        <v>1</v>
      </c>
      <c r="E5" s="48">
        <v>499</v>
      </c>
      <c r="F5" s="48">
        <f>499*0.97</f>
        <v>484.03</v>
      </c>
      <c r="G5" s="48">
        <v>750</v>
      </c>
      <c r="H5" s="50">
        <f t="shared" si="0"/>
        <v>1.5494907340454105</v>
      </c>
      <c r="I5" s="45">
        <v>0.33</v>
      </c>
      <c r="J5" s="45">
        <v>0.79</v>
      </c>
      <c r="K5" s="50">
        <v>1.77</v>
      </c>
      <c r="L5" s="50">
        <v>1.66</v>
      </c>
      <c r="M5" s="50">
        <v>1.19</v>
      </c>
      <c r="N5" s="50">
        <v>0.71</v>
      </c>
      <c r="O5" s="49">
        <v>35.5</v>
      </c>
      <c r="P5" s="47">
        <v>115000</v>
      </c>
      <c r="Q5" s="46">
        <v>0.52</v>
      </c>
      <c r="R5" s="45">
        <v>0.92</v>
      </c>
      <c r="S5" s="48">
        <v>2</v>
      </c>
      <c r="T5" s="51">
        <v>1</v>
      </c>
      <c r="U5" s="51">
        <v>611</v>
      </c>
      <c r="V5" s="50">
        <f>630/499</f>
        <v>1.2625250501002003</v>
      </c>
      <c r="W5" s="50">
        <f>630/750</f>
        <v>0.84</v>
      </c>
      <c r="X5" s="48">
        <v>2</v>
      </c>
      <c r="Y5" s="48">
        <v>1</v>
      </c>
      <c r="Z5" s="47">
        <v>50</v>
      </c>
      <c r="AA5" s="48">
        <v>1</v>
      </c>
      <c r="AB5" s="48">
        <v>2</v>
      </c>
      <c r="AC5" s="48">
        <v>0</v>
      </c>
      <c r="AD5" s="50">
        <f>18/750</f>
        <v>2.4E-2</v>
      </c>
      <c r="AE5" s="48">
        <v>21</v>
      </c>
      <c r="AF5" s="48">
        <v>1</v>
      </c>
      <c r="AG5" s="48">
        <v>0.2</v>
      </c>
      <c r="AH5" s="48">
        <v>0.8</v>
      </c>
      <c r="AI5" s="48">
        <v>0.6</v>
      </c>
      <c r="AJ5" s="48" t="s">
        <v>190</v>
      </c>
      <c r="AK5" s="48">
        <v>0.1</v>
      </c>
      <c r="AL5" s="48">
        <v>97</v>
      </c>
      <c r="AM5" s="48">
        <v>70</v>
      </c>
      <c r="AN5" s="48">
        <v>74.44</v>
      </c>
      <c r="AO5" s="48">
        <v>91.94</v>
      </c>
      <c r="AP5" s="48">
        <v>166.39</v>
      </c>
      <c r="AQ5" s="48">
        <v>9393</v>
      </c>
      <c r="AR5" s="48">
        <v>11601</v>
      </c>
      <c r="AS5" s="49">
        <f t="shared" si="1"/>
        <v>0.80967158003620376</v>
      </c>
      <c r="AT5" s="48">
        <v>1</v>
      </c>
      <c r="AU5" s="48">
        <v>2</v>
      </c>
      <c r="AV5" s="48">
        <v>1</v>
      </c>
      <c r="AW5" s="48">
        <v>2</v>
      </c>
      <c r="AX5" s="48">
        <v>1.5</v>
      </c>
      <c r="AY5" s="45">
        <v>0.17</v>
      </c>
      <c r="AZ5" s="46">
        <v>0.84</v>
      </c>
      <c r="BA5" s="46">
        <v>0.43</v>
      </c>
      <c r="BB5" s="48">
        <v>926</v>
      </c>
      <c r="BC5" s="48">
        <v>1012</v>
      </c>
      <c r="BD5" s="48">
        <v>922</v>
      </c>
      <c r="BE5" s="48">
        <v>894</v>
      </c>
      <c r="BF5" s="50">
        <f t="shared" si="2"/>
        <v>1.9131045596347336</v>
      </c>
      <c r="BG5" s="50">
        <f t="shared" si="3"/>
        <v>2.0907794971386071</v>
      </c>
      <c r="BH5" s="50">
        <f t="shared" si="4"/>
        <v>1.904840609053158</v>
      </c>
      <c r="BI5" s="50">
        <f t="shared" si="5"/>
        <v>1.8469929549821293</v>
      </c>
      <c r="BJ5" s="50">
        <f t="shared" si="6"/>
        <v>1.2346666666666666</v>
      </c>
      <c r="BK5" s="50">
        <f t="shared" si="7"/>
        <v>1.3493333333333333</v>
      </c>
      <c r="BL5" s="50">
        <f t="shared" si="8"/>
        <v>1.2293333333333334</v>
      </c>
      <c r="BM5" s="50">
        <f t="shared" si="9"/>
        <v>1.1919999999999999</v>
      </c>
      <c r="BN5" s="50">
        <v>60.47</v>
      </c>
      <c r="BO5" s="50">
        <v>49.7</v>
      </c>
      <c r="BP5" s="50">
        <v>41.58</v>
      </c>
      <c r="BQ5" s="50">
        <v>53.01</v>
      </c>
      <c r="BR5" s="50">
        <v>44.99</v>
      </c>
      <c r="BS5" s="50">
        <v>37.1</v>
      </c>
      <c r="BT5" s="50">
        <v>49.08</v>
      </c>
      <c r="BU5" s="45">
        <v>0.43</v>
      </c>
      <c r="BV5" s="45">
        <v>0.39</v>
      </c>
      <c r="BW5" s="45">
        <v>0.02</v>
      </c>
      <c r="BX5" s="45">
        <v>0.44</v>
      </c>
      <c r="BY5" s="45">
        <v>0.02</v>
      </c>
      <c r="BZ5" s="45">
        <v>0.06</v>
      </c>
      <c r="CA5" s="45">
        <v>0.03</v>
      </c>
      <c r="CB5" s="49">
        <v>8.1999999999999993</v>
      </c>
      <c r="CC5" s="48">
        <v>27</v>
      </c>
      <c r="CD5" s="45">
        <v>0.54</v>
      </c>
      <c r="CE5" s="47">
        <v>184</v>
      </c>
      <c r="CF5" s="46">
        <v>0.73</v>
      </c>
      <c r="CG5" s="45">
        <v>0.5</v>
      </c>
      <c r="CH5" s="45">
        <v>0.5</v>
      </c>
      <c r="CI5" s="45">
        <v>0.47</v>
      </c>
      <c r="CJ5" s="45">
        <v>0.64</v>
      </c>
      <c r="CK5" s="45">
        <v>0.32</v>
      </c>
      <c r="CL5" s="45">
        <v>0.16</v>
      </c>
      <c r="CM5" s="45">
        <v>0.17</v>
      </c>
      <c r="CN5" s="45">
        <v>0.34</v>
      </c>
      <c r="CO5" s="45">
        <v>0.01</v>
      </c>
      <c r="CP5" s="45">
        <v>0.94</v>
      </c>
      <c r="CQ5" s="45">
        <v>0.88</v>
      </c>
      <c r="CR5" s="45">
        <v>0.82</v>
      </c>
      <c r="CS5" s="45">
        <v>0.28000000000000003</v>
      </c>
      <c r="CT5" s="45">
        <v>0.88</v>
      </c>
      <c r="CU5" s="45">
        <v>0.45</v>
      </c>
    </row>
    <row r="6" spans="1:99" s="44" customFormat="1" ht="52.5" customHeight="1" x14ac:dyDescent="0.25">
      <c r="A6" s="53" t="s">
        <v>205</v>
      </c>
      <c r="B6" s="48">
        <v>232</v>
      </c>
      <c r="C6" s="48">
        <v>1</v>
      </c>
      <c r="D6" s="48">
        <v>1</v>
      </c>
      <c r="E6" s="48">
        <v>271</v>
      </c>
      <c r="F6" s="48">
        <v>271</v>
      </c>
      <c r="G6" s="48">
        <v>400</v>
      </c>
      <c r="H6" s="50">
        <f t="shared" si="0"/>
        <v>1.4760147601476015</v>
      </c>
      <c r="I6" s="45">
        <v>0.21</v>
      </c>
      <c r="J6" s="45">
        <v>0.63</v>
      </c>
      <c r="K6" s="50">
        <v>1.63</v>
      </c>
      <c r="L6" s="50">
        <v>1.46</v>
      </c>
      <c r="M6" s="50">
        <v>1.1499999999999999</v>
      </c>
      <c r="N6" s="50">
        <v>0.8</v>
      </c>
      <c r="O6" s="49">
        <v>40.299999999999997</v>
      </c>
      <c r="P6" s="47">
        <v>126000</v>
      </c>
      <c r="Q6" s="45">
        <v>0.49</v>
      </c>
      <c r="R6" s="45">
        <v>0.91</v>
      </c>
      <c r="S6" s="48">
        <v>1</v>
      </c>
      <c r="T6" s="51">
        <v>2</v>
      </c>
      <c r="U6" s="51">
        <v>323</v>
      </c>
      <c r="V6" s="50">
        <f>323/271</f>
        <v>1.1918819188191883</v>
      </c>
      <c r="W6" s="50">
        <f>323/400</f>
        <v>0.8075</v>
      </c>
      <c r="X6" s="48">
        <v>1</v>
      </c>
      <c r="Y6" s="48">
        <v>2</v>
      </c>
      <c r="Z6" s="47">
        <v>0</v>
      </c>
      <c r="AA6" s="48">
        <v>2</v>
      </c>
      <c r="AB6" s="48">
        <v>1</v>
      </c>
      <c r="AC6" s="48">
        <v>0</v>
      </c>
      <c r="AD6" s="50">
        <f>80/400</f>
        <v>0.2</v>
      </c>
      <c r="AE6" s="48">
        <v>17</v>
      </c>
      <c r="AF6" s="48">
        <v>1</v>
      </c>
      <c r="AG6" s="48">
        <v>0.2</v>
      </c>
      <c r="AH6" s="48">
        <v>0.3</v>
      </c>
      <c r="AI6" s="48">
        <v>0.7</v>
      </c>
      <c r="AJ6" s="48" t="s">
        <v>193</v>
      </c>
      <c r="AK6" s="48">
        <v>0.2</v>
      </c>
      <c r="AL6" s="48">
        <v>91</v>
      </c>
      <c r="AM6" s="48">
        <v>67</v>
      </c>
      <c r="AN6" s="48">
        <v>50.43</v>
      </c>
      <c r="AO6" s="48">
        <v>106.46</v>
      </c>
      <c r="AP6" s="48">
        <v>156.88999999999999</v>
      </c>
      <c r="AQ6" s="48">
        <v>6398</v>
      </c>
      <c r="AR6" s="48">
        <v>13506</v>
      </c>
      <c r="AS6" s="49">
        <f t="shared" si="1"/>
        <v>0.47371538575447947</v>
      </c>
      <c r="AT6" s="48">
        <v>1</v>
      </c>
      <c r="AU6" s="48">
        <v>2</v>
      </c>
      <c r="AV6" s="48">
        <v>1</v>
      </c>
      <c r="AW6" s="48">
        <v>2</v>
      </c>
      <c r="AX6" s="48">
        <v>1.8</v>
      </c>
      <c r="AY6" s="45">
        <v>0.24</v>
      </c>
      <c r="AZ6" s="46">
        <v>0.74</v>
      </c>
      <c r="BA6" s="46">
        <v>0.37</v>
      </c>
      <c r="BB6" s="48">
        <v>506</v>
      </c>
      <c r="BC6" s="48">
        <v>555</v>
      </c>
      <c r="BD6" s="48">
        <v>487</v>
      </c>
      <c r="BE6" s="48">
        <v>503</v>
      </c>
      <c r="BF6" s="50">
        <f t="shared" si="2"/>
        <v>1.8671586715867159</v>
      </c>
      <c r="BG6" s="50">
        <f t="shared" si="3"/>
        <v>2.0479704797047971</v>
      </c>
      <c r="BH6" s="50">
        <f t="shared" si="4"/>
        <v>1.7970479704797049</v>
      </c>
      <c r="BI6" s="50">
        <f t="shared" si="5"/>
        <v>1.8560885608856088</v>
      </c>
      <c r="BJ6" s="50">
        <f t="shared" si="6"/>
        <v>1.2649999999999999</v>
      </c>
      <c r="BK6" s="50">
        <f t="shared" si="7"/>
        <v>1.3875</v>
      </c>
      <c r="BL6" s="50">
        <f t="shared" si="8"/>
        <v>1.2175</v>
      </c>
      <c r="BM6" s="50">
        <f t="shared" si="9"/>
        <v>1.2575000000000001</v>
      </c>
      <c r="BN6" s="50">
        <v>55.78</v>
      </c>
      <c r="BO6" s="50">
        <v>51.85</v>
      </c>
      <c r="BP6" s="50">
        <v>46.39</v>
      </c>
      <c r="BQ6" s="50">
        <v>54.12</v>
      </c>
      <c r="BR6" s="50">
        <v>39.549999999999997</v>
      </c>
      <c r="BS6" s="50">
        <v>41.69</v>
      </c>
      <c r="BT6" s="50">
        <v>54.11</v>
      </c>
      <c r="BU6" s="45">
        <v>0.44</v>
      </c>
      <c r="BV6" s="45">
        <v>0.49</v>
      </c>
      <c r="BW6" s="45">
        <v>0.05</v>
      </c>
      <c r="BX6" s="45">
        <v>0.27</v>
      </c>
      <c r="BY6" s="45">
        <v>0.01</v>
      </c>
      <c r="BZ6" s="45">
        <v>0.11</v>
      </c>
      <c r="CA6" s="45">
        <v>0.06</v>
      </c>
      <c r="CB6" s="49">
        <v>9.5</v>
      </c>
      <c r="CC6" s="48">
        <v>27</v>
      </c>
      <c r="CD6" s="45">
        <v>0.4</v>
      </c>
      <c r="CE6" s="47">
        <v>180</v>
      </c>
      <c r="CF6" s="46">
        <v>0.71</v>
      </c>
      <c r="CG6" s="45">
        <v>0.45</v>
      </c>
      <c r="CH6" s="45">
        <v>0.55000000000000004</v>
      </c>
      <c r="CI6" s="45">
        <v>0.53</v>
      </c>
      <c r="CJ6" s="45">
        <v>0.69</v>
      </c>
      <c r="CK6" s="45">
        <v>0.56999999999999995</v>
      </c>
      <c r="CL6" s="45">
        <v>0.17</v>
      </c>
      <c r="CM6" s="45">
        <v>0.05</v>
      </c>
      <c r="CN6" s="45">
        <v>0.21</v>
      </c>
      <c r="CO6" s="45">
        <v>0</v>
      </c>
      <c r="CP6" s="45">
        <v>1</v>
      </c>
      <c r="CQ6" s="45">
        <v>0.91</v>
      </c>
      <c r="CR6" s="45">
        <v>0.88</v>
      </c>
      <c r="CS6" s="45">
        <v>0.28999999999999998</v>
      </c>
      <c r="CT6" s="45">
        <v>0.9</v>
      </c>
      <c r="CU6" s="45">
        <v>0.51</v>
      </c>
    </row>
    <row r="7" spans="1:99" s="44" customFormat="1" ht="48.75" customHeight="1" x14ac:dyDescent="0.25">
      <c r="A7" s="53" t="s">
        <v>204</v>
      </c>
      <c r="B7" s="48">
        <v>232</v>
      </c>
      <c r="C7" s="48">
        <v>1</v>
      </c>
      <c r="D7" s="48">
        <v>1</v>
      </c>
      <c r="E7" s="48">
        <v>235</v>
      </c>
      <c r="F7" s="48">
        <v>235</v>
      </c>
      <c r="G7" s="48">
        <v>275</v>
      </c>
      <c r="H7" s="50">
        <f t="shared" si="0"/>
        <v>1.1702127659574468</v>
      </c>
      <c r="I7" s="45">
        <v>0.14000000000000001</v>
      </c>
      <c r="J7" s="45">
        <v>0.66</v>
      </c>
      <c r="K7" s="50">
        <v>1.6</v>
      </c>
      <c r="L7" s="50">
        <v>1.55</v>
      </c>
      <c r="M7" s="50">
        <v>1.2</v>
      </c>
      <c r="N7" s="50">
        <v>0.78</v>
      </c>
      <c r="O7" s="49">
        <v>37.799999999999997</v>
      </c>
      <c r="P7" s="47">
        <v>131700</v>
      </c>
      <c r="Q7" s="45">
        <v>0.49</v>
      </c>
      <c r="R7" s="45">
        <v>0.91</v>
      </c>
      <c r="S7" s="48">
        <v>1</v>
      </c>
      <c r="T7" s="51">
        <v>2</v>
      </c>
      <c r="U7" s="51">
        <v>312</v>
      </c>
      <c r="V7" s="50">
        <f>282/235</f>
        <v>1.2</v>
      </c>
      <c r="W7" s="50">
        <f>282/275</f>
        <v>1.0254545454545454</v>
      </c>
      <c r="X7" s="48">
        <v>1</v>
      </c>
      <c r="Y7" s="48">
        <v>1</v>
      </c>
      <c r="Z7" s="47">
        <v>0</v>
      </c>
      <c r="AA7" s="48">
        <v>2</v>
      </c>
      <c r="AB7" s="48">
        <v>1</v>
      </c>
      <c r="AC7" s="48">
        <v>0</v>
      </c>
      <c r="AD7" s="50">
        <f>82/275</f>
        <v>0.29818181818181816</v>
      </c>
      <c r="AE7" s="48">
        <v>12</v>
      </c>
      <c r="AF7" s="48">
        <v>2</v>
      </c>
      <c r="AG7" s="48">
        <v>0.3</v>
      </c>
      <c r="AH7" s="48">
        <v>1</v>
      </c>
      <c r="AI7" s="48">
        <v>1</v>
      </c>
      <c r="AJ7" s="48">
        <v>0.7</v>
      </c>
      <c r="AK7" s="48">
        <v>0.1</v>
      </c>
      <c r="AL7" s="48">
        <v>88</v>
      </c>
      <c r="AM7" s="48">
        <v>67</v>
      </c>
      <c r="AN7" s="48">
        <v>72.040000000000006</v>
      </c>
      <c r="AO7" s="48">
        <v>139.33000000000001</v>
      </c>
      <c r="AP7" s="48">
        <v>211.36</v>
      </c>
      <c r="AQ7" s="48">
        <v>8995</v>
      </c>
      <c r="AR7" s="48">
        <v>17248</v>
      </c>
      <c r="AS7" s="49">
        <f t="shared" si="1"/>
        <v>0.52150974025974028</v>
      </c>
      <c r="AT7" s="48">
        <v>1</v>
      </c>
      <c r="AU7" s="48">
        <v>2</v>
      </c>
      <c r="AV7" s="58">
        <v>0</v>
      </c>
      <c r="AW7" s="58">
        <v>1</v>
      </c>
      <c r="AX7" s="48">
        <v>1.6</v>
      </c>
      <c r="AY7" s="45">
        <v>0.2</v>
      </c>
      <c r="AZ7" s="56">
        <v>0.66</v>
      </c>
      <c r="BA7" s="56">
        <v>0.4</v>
      </c>
      <c r="BB7" s="58">
        <v>451</v>
      </c>
      <c r="BC7" s="58">
        <v>472</v>
      </c>
      <c r="BD7" s="58">
        <v>444</v>
      </c>
      <c r="BE7" s="58">
        <v>439</v>
      </c>
      <c r="BF7" s="50">
        <f t="shared" si="2"/>
        <v>1.9191489361702128</v>
      </c>
      <c r="BG7" s="50">
        <f t="shared" si="3"/>
        <v>2.0085106382978721</v>
      </c>
      <c r="BH7" s="50">
        <f t="shared" si="4"/>
        <v>1.8893617021276596</v>
      </c>
      <c r="BI7" s="50">
        <f t="shared" si="5"/>
        <v>1.8680851063829786</v>
      </c>
      <c r="BJ7" s="50">
        <f t="shared" si="6"/>
        <v>1.64</v>
      </c>
      <c r="BK7" s="50">
        <f t="shared" si="7"/>
        <v>1.7163636363636363</v>
      </c>
      <c r="BL7" s="50">
        <f t="shared" si="8"/>
        <v>1.6145454545454545</v>
      </c>
      <c r="BM7" s="50">
        <f t="shared" si="9"/>
        <v>1.5963636363636364</v>
      </c>
      <c r="BN7" s="60">
        <v>65.33</v>
      </c>
      <c r="BO7" s="60">
        <v>54.42</v>
      </c>
      <c r="BP7" s="60">
        <v>51.06</v>
      </c>
      <c r="BQ7" s="60">
        <v>69.5</v>
      </c>
      <c r="BR7" s="60">
        <v>40.29</v>
      </c>
      <c r="BS7" s="60">
        <v>43.84</v>
      </c>
      <c r="BT7" s="60">
        <v>54.46</v>
      </c>
      <c r="BU7" s="55">
        <v>0.41</v>
      </c>
      <c r="BV7" s="55">
        <v>0.53</v>
      </c>
      <c r="BW7" s="55">
        <v>0.02</v>
      </c>
      <c r="BX7" s="55">
        <v>0.28000000000000003</v>
      </c>
      <c r="BY7" s="55">
        <v>0.01</v>
      </c>
      <c r="BZ7" s="55">
        <v>0.06</v>
      </c>
      <c r="CA7" s="55">
        <v>0.04</v>
      </c>
      <c r="CB7" s="59">
        <v>10</v>
      </c>
      <c r="CC7" s="58">
        <v>30</v>
      </c>
      <c r="CD7" s="55">
        <v>0.63</v>
      </c>
      <c r="CE7" s="57">
        <v>183</v>
      </c>
      <c r="CF7" s="56">
        <v>0.57999999999999996</v>
      </c>
      <c r="CG7" s="55">
        <v>0.57999999999999996</v>
      </c>
      <c r="CH7" s="55">
        <v>0.42</v>
      </c>
      <c r="CI7" s="55">
        <v>0.42</v>
      </c>
      <c r="CJ7" s="55">
        <v>0.79</v>
      </c>
      <c r="CK7" s="55">
        <v>0.39</v>
      </c>
      <c r="CL7" s="55">
        <v>0.23</v>
      </c>
      <c r="CM7" s="55">
        <v>0.08</v>
      </c>
      <c r="CN7" s="55">
        <v>0.28000000000000003</v>
      </c>
      <c r="CO7" s="55">
        <v>0.02</v>
      </c>
      <c r="CP7" s="55">
        <v>0.89</v>
      </c>
      <c r="CQ7" s="55">
        <v>0.85</v>
      </c>
      <c r="CR7" s="55">
        <v>0.78</v>
      </c>
      <c r="CS7" s="55">
        <v>0.28000000000000003</v>
      </c>
      <c r="CT7" s="55">
        <v>0.85</v>
      </c>
      <c r="CU7" s="55">
        <v>0.44</v>
      </c>
    </row>
    <row r="8" spans="1:99" s="44" customFormat="1" ht="35.1" customHeight="1" x14ac:dyDescent="0.25">
      <c r="A8" s="53" t="s">
        <v>203</v>
      </c>
      <c r="B8" s="48">
        <v>232</v>
      </c>
      <c r="C8" s="48">
        <v>1</v>
      </c>
      <c r="D8" s="48">
        <v>1</v>
      </c>
      <c r="E8" s="48">
        <v>412</v>
      </c>
      <c r="F8" s="48">
        <v>412</v>
      </c>
      <c r="G8" s="48">
        <v>600</v>
      </c>
      <c r="H8" s="50">
        <f t="shared" si="0"/>
        <v>1.4563106796116505</v>
      </c>
      <c r="I8" s="45">
        <v>0.16</v>
      </c>
      <c r="J8" s="45">
        <v>0.45</v>
      </c>
      <c r="K8" s="50">
        <v>1.47</v>
      </c>
      <c r="L8" s="50">
        <v>1.4</v>
      </c>
      <c r="M8" s="50">
        <v>1.1299999999999999</v>
      </c>
      <c r="N8" s="50">
        <v>0.81</v>
      </c>
      <c r="O8" s="49">
        <v>38.5</v>
      </c>
      <c r="P8" s="47">
        <v>121300</v>
      </c>
      <c r="Q8" s="45">
        <v>0.54</v>
      </c>
      <c r="R8" s="45">
        <v>0.94</v>
      </c>
      <c r="S8" s="48">
        <v>1</v>
      </c>
      <c r="T8" s="51">
        <v>2</v>
      </c>
      <c r="U8" s="51">
        <v>470</v>
      </c>
      <c r="V8" s="50">
        <f>470/412</f>
        <v>1.1407766990291262</v>
      </c>
      <c r="W8" s="50">
        <f>470/600</f>
        <v>0.78333333333333333</v>
      </c>
      <c r="X8" s="48">
        <v>1</v>
      </c>
      <c r="Y8" s="48">
        <v>1</v>
      </c>
      <c r="Z8" s="47">
        <v>0</v>
      </c>
      <c r="AA8" s="48">
        <v>2</v>
      </c>
      <c r="AB8" s="48">
        <v>2</v>
      </c>
      <c r="AC8" s="48">
        <v>1</v>
      </c>
      <c r="AD8" s="50">
        <f>52/600</f>
        <v>8.666666666666667E-2</v>
      </c>
      <c r="AE8" s="48">
        <v>11</v>
      </c>
      <c r="AF8" s="48">
        <v>2</v>
      </c>
      <c r="AG8" s="48">
        <v>0.3</v>
      </c>
      <c r="AH8" s="48">
        <v>0.5</v>
      </c>
      <c r="AI8" s="48">
        <v>0.3</v>
      </c>
      <c r="AJ8" s="48" t="s">
        <v>193</v>
      </c>
      <c r="AK8" s="48">
        <v>0.3</v>
      </c>
      <c r="AL8" s="48">
        <v>83</v>
      </c>
      <c r="AM8" s="48">
        <v>69</v>
      </c>
      <c r="AN8" s="48">
        <v>38.19</v>
      </c>
      <c r="AO8" s="48">
        <v>158.59</v>
      </c>
      <c r="AP8" s="48">
        <v>196.79</v>
      </c>
      <c r="AQ8" s="48">
        <v>4448</v>
      </c>
      <c r="AR8" s="48">
        <v>18469</v>
      </c>
      <c r="AS8" s="49">
        <f t="shared" si="1"/>
        <v>0.2408359954518382</v>
      </c>
      <c r="AT8" s="48">
        <v>1</v>
      </c>
      <c r="AU8" s="48">
        <v>2</v>
      </c>
      <c r="AV8" s="48">
        <v>0</v>
      </c>
      <c r="AW8" s="48">
        <v>1</v>
      </c>
      <c r="AX8" s="48">
        <v>1.4</v>
      </c>
      <c r="AY8" s="45">
        <v>0.14000000000000001</v>
      </c>
      <c r="AZ8" s="46">
        <v>0.84</v>
      </c>
      <c r="BA8" s="46">
        <v>0.37</v>
      </c>
      <c r="BB8" s="48">
        <v>691</v>
      </c>
      <c r="BC8" s="48">
        <v>736</v>
      </c>
      <c r="BD8" s="48">
        <v>654</v>
      </c>
      <c r="BE8" s="48">
        <v>731</v>
      </c>
      <c r="BF8" s="50">
        <f t="shared" si="2"/>
        <v>1.6771844660194175</v>
      </c>
      <c r="BG8" s="50">
        <f t="shared" si="3"/>
        <v>1.7864077669902914</v>
      </c>
      <c r="BH8" s="50">
        <f t="shared" si="4"/>
        <v>1.587378640776699</v>
      </c>
      <c r="BI8" s="50">
        <f t="shared" si="5"/>
        <v>1.7742718446601942</v>
      </c>
      <c r="BJ8" s="50">
        <f t="shared" si="6"/>
        <v>1.1516666666666666</v>
      </c>
      <c r="BK8" s="50">
        <f t="shared" si="7"/>
        <v>1.2266666666666666</v>
      </c>
      <c r="BL8" s="50">
        <f t="shared" si="8"/>
        <v>1.0900000000000001</v>
      </c>
      <c r="BM8" s="50">
        <f t="shared" si="9"/>
        <v>1.2183333333333333</v>
      </c>
      <c r="BN8" s="50">
        <v>54.4</v>
      </c>
      <c r="BO8" s="50">
        <v>50.72</v>
      </c>
      <c r="BP8" s="50">
        <v>43.69</v>
      </c>
      <c r="BQ8" s="50">
        <v>59.06</v>
      </c>
      <c r="BR8" s="50">
        <v>35.32</v>
      </c>
      <c r="BS8" s="50">
        <v>36.83</v>
      </c>
      <c r="BT8" s="50">
        <v>51.73</v>
      </c>
      <c r="BU8" s="45">
        <v>0.39</v>
      </c>
      <c r="BV8" s="45">
        <v>0.45</v>
      </c>
      <c r="BW8" s="45">
        <v>0.05</v>
      </c>
      <c r="BX8" s="45">
        <v>0.25</v>
      </c>
      <c r="BY8" s="45">
        <v>0.04</v>
      </c>
      <c r="BZ8" s="45">
        <v>0.08</v>
      </c>
      <c r="CA8" s="45">
        <v>0.04</v>
      </c>
      <c r="CB8" s="49">
        <v>9</v>
      </c>
      <c r="CC8" s="48">
        <v>28</v>
      </c>
      <c r="CD8" s="45">
        <v>0.56000000000000005</v>
      </c>
      <c r="CE8" s="47">
        <v>162</v>
      </c>
      <c r="CF8" s="46">
        <v>0.64</v>
      </c>
      <c r="CG8" s="45">
        <v>0.55000000000000004</v>
      </c>
      <c r="CH8" s="45">
        <v>0.45</v>
      </c>
      <c r="CI8" s="45">
        <v>0.44</v>
      </c>
      <c r="CJ8" s="45">
        <v>0.63</v>
      </c>
      <c r="CK8" s="45">
        <v>0.42</v>
      </c>
      <c r="CL8" s="45">
        <v>0.15</v>
      </c>
      <c r="CM8" s="45">
        <v>0.12</v>
      </c>
      <c r="CN8" s="45">
        <v>0.26</v>
      </c>
      <c r="CO8" s="45">
        <v>0.05</v>
      </c>
      <c r="CP8" s="45">
        <v>0.94</v>
      </c>
      <c r="CQ8" s="45">
        <v>0.9</v>
      </c>
      <c r="CR8" s="45">
        <v>0.77</v>
      </c>
      <c r="CS8" s="45">
        <v>0.28000000000000003</v>
      </c>
      <c r="CT8" s="45">
        <v>0.84</v>
      </c>
      <c r="CU8" s="45">
        <v>0.48</v>
      </c>
    </row>
    <row r="9" spans="1:99" s="54" customFormat="1" ht="35.1" customHeight="1" x14ac:dyDescent="0.25">
      <c r="A9" s="53" t="s">
        <v>202</v>
      </c>
      <c r="B9" s="48">
        <v>232</v>
      </c>
      <c r="C9" s="48">
        <v>1</v>
      </c>
      <c r="D9" s="48">
        <v>1</v>
      </c>
      <c r="E9" s="48">
        <v>153</v>
      </c>
      <c r="F9" s="48">
        <v>153</v>
      </c>
      <c r="G9" s="48">
        <v>175</v>
      </c>
      <c r="H9" s="50">
        <f t="shared" si="0"/>
        <v>1.1437908496732025</v>
      </c>
      <c r="I9" s="45">
        <v>0.19</v>
      </c>
      <c r="J9" s="45">
        <v>0.6</v>
      </c>
      <c r="K9" s="50">
        <v>1.85</v>
      </c>
      <c r="L9" s="50">
        <v>1.71</v>
      </c>
      <c r="M9" s="50">
        <v>1.34</v>
      </c>
      <c r="N9" s="50">
        <v>0.79</v>
      </c>
      <c r="O9" s="49">
        <v>32.200000000000003</v>
      </c>
      <c r="P9" s="47">
        <v>123300</v>
      </c>
      <c r="Q9" s="45">
        <v>0.56000000000000005</v>
      </c>
      <c r="R9" s="45">
        <v>0.95</v>
      </c>
      <c r="S9" s="48">
        <v>1</v>
      </c>
      <c r="T9" s="51">
        <v>2</v>
      </c>
      <c r="U9" s="51">
        <v>192</v>
      </c>
      <c r="V9" s="50">
        <f>192/153</f>
        <v>1.2549019607843137</v>
      </c>
      <c r="W9" s="50">
        <f>192/175</f>
        <v>1.0971428571428572</v>
      </c>
      <c r="X9" s="48">
        <v>1</v>
      </c>
      <c r="Y9" s="48">
        <v>2</v>
      </c>
      <c r="Z9" s="47">
        <v>0</v>
      </c>
      <c r="AA9" s="48">
        <v>2</v>
      </c>
      <c r="AB9" s="48">
        <v>2</v>
      </c>
      <c r="AC9" s="48">
        <v>1</v>
      </c>
      <c r="AD9" s="50">
        <v>0.26</v>
      </c>
      <c r="AE9" s="48">
        <v>4</v>
      </c>
      <c r="AF9" s="48">
        <v>2</v>
      </c>
      <c r="AG9" s="48">
        <v>0.3</v>
      </c>
      <c r="AH9" s="48">
        <v>0.4</v>
      </c>
      <c r="AI9" s="48">
        <v>0.4</v>
      </c>
      <c r="AJ9" s="48">
        <v>0.25</v>
      </c>
      <c r="AK9" s="48">
        <v>0.25</v>
      </c>
      <c r="AL9" s="48">
        <v>86</v>
      </c>
      <c r="AM9" s="48">
        <v>69</v>
      </c>
      <c r="AN9" s="48">
        <v>44.72</v>
      </c>
      <c r="AO9" s="48">
        <v>67.02</v>
      </c>
      <c r="AP9" s="48">
        <v>111.74</v>
      </c>
      <c r="AQ9" s="48">
        <v>5063</v>
      </c>
      <c r="AR9" s="48">
        <v>7587</v>
      </c>
      <c r="AS9" s="49">
        <f t="shared" si="1"/>
        <v>0.66732568867800179</v>
      </c>
      <c r="AT9" s="48">
        <v>1</v>
      </c>
      <c r="AU9" s="48">
        <v>2</v>
      </c>
      <c r="AV9" s="58">
        <v>1</v>
      </c>
      <c r="AW9" s="58">
        <v>2</v>
      </c>
      <c r="AX9" s="48">
        <v>1.9</v>
      </c>
      <c r="AY9" s="45">
        <v>0.26</v>
      </c>
      <c r="AZ9" s="56">
        <v>0.75</v>
      </c>
      <c r="BA9" s="56">
        <v>0.32</v>
      </c>
      <c r="BB9" s="58">
        <v>350</v>
      </c>
      <c r="BC9" s="58">
        <v>374</v>
      </c>
      <c r="BD9" s="58">
        <v>377</v>
      </c>
      <c r="BE9" s="58">
        <v>330</v>
      </c>
      <c r="BF9" s="50">
        <f t="shared" si="2"/>
        <v>2.2875816993464051</v>
      </c>
      <c r="BG9" s="50">
        <f t="shared" si="3"/>
        <v>2.4444444444444446</v>
      </c>
      <c r="BH9" s="50">
        <f t="shared" si="4"/>
        <v>2.4640522875816995</v>
      </c>
      <c r="BI9" s="50">
        <f t="shared" si="5"/>
        <v>2.1568627450980391</v>
      </c>
      <c r="BJ9" s="50">
        <f t="shared" si="6"/>
        <v>2</v>
      </c>
      <c r="BK9" s="50">
        <f t="shared" si="7"/>
        <v>2.137142857142857</v>
      </c>
      <c r="BL9" s="50">
        <f t="shared" si="8"/>
        <v>2.1542857142857144</v>
      </c>
      <c r="BM9" s="50">
        <f t="shared" si="9"/>
        <v>1.8857142857142857</v>
      </c>
      <c r="BN9" s="60">
        <v>48.16</v>
      </c>
      <c r="BO9" s="60">
        <v>57.17</v>
      </c>
      <c r="BP9" s="60">
        <v>62.88</v>
      </c>
      <c r="BQ9" s="60">
        <v>72.66</v>
      </c>
      <c r="BR9" s="60">
        <v>64.67</v>
      </c>
      <c r="BS9" s="60">
        <v>76.56</v>
      </c>
      <c r="BT9" s="60">
        <v>87.15</v>
      </c>
      <c r="BU9" s="55">
        <v>0.54</v>
      </c>
      <c r="BV9" s="55">
        <v>0.43</v>
      </c>
      <c r="BW9" s="55">
        <v>0.12</v>
      </c>
      <c r="BX9" s="55">
        <v>0.17</v>
      </c>
      <c r="BY9" s="55">
        <v>0.04</v>
      </c>
      <c r="BZ9" s="55">
        <v>0.11</v>
      </c>
      <c r="CA9" s="55">
        <v>0.09</v>
      </c>
      <c r="CB9" s="59">
        <v>7.3</v>
      </c>
      <c r="CC9" s="58">
        <v>30</v>
      </c>
      <c r="CD9" s="55">
        <v>0.64</v>
      </c>
      <c r="CE9" s="57">
        <v>202</v>
      </c>
      <c r="CF9" s="56">
        <v>0.64</v>
      </c>
      <c r="CG9" s="55">
        <v>0.47</v>
      </c>
      <c r="CH9" s="55">
        <v>0.53</v>
      </c>
      <c r="CI9" s="55">
        <v>0.5</v>
      </c>
      <c r="CJ9" s="55">
        <v>0.69</v>
      </c>
      <c r="CK9" s="55">
        <v>0.35</v>
      </c>
      <c r="CL9" s="55">
        <v>0.19</v>
      </c>
      <c r="CM9" s="55">
        <v>0.05</v>
      </c>
      <c r="CN9" s="55">
        <v>0.39</v>
      </c>
      <c r="CO9" s="55">
        <v>0.02</v>
      </c>
      <c r="CP9" s="55">
        <v>0.98</v>
      </c>
      <c r="CQ9" s="55">
        <v>0.93</v>
      </c>
      <c r="CR9" s="55">
        <v>0.88</v>
      </c>
      <c r="CS9" s="55">
        <v>0.31</v>
      </c>
      <c r="CT9" s="55">
        <v>0.98</v>
      </c>
      <c r="CU9" s="55">
        <v>0.67</v>
      </c>
    </row>
    <row r="10" spans="1:99" s="54" customFormat="1" ht="51" customHeight="1" x14ac:dyDescent="0.25">
      <c r="A10" s="53" t="s">
        <v>201</v>
      </c>
      <c r="B10" s="48">
        <v>310</v>
      </c>
      <c r="C10" s="48">
        <v>1</v>
      </c>
      <c r="D10" s="48">
        <v>1</v>
      </c>
      <c r="E10" s="48">
        <v>84</v>
      </c>
      <c r="F10" s="48">
        <f>84*0.65</f>
        <v>54.6</v>
      </c>
      <c r="G10" s="48">
        <v>80</v>
      </c>
      <c r="H10" s="50">
        <f t="shared" si="0"/>
        <v>1.4652014652014651</v>
      </c>
      <c r="I10" s="45">
        <v>0.53</v>
      </c>
      <c r="J10" s="45">
        <v>0.63</v>
      </c>
      <c r="K10" s="50">
        <v>2.35</v>
      </c>
      <c r="L10" s="50">
        <v>1.82</v>
      </c>
      <c r="M10" s="50">
        <v>1.53</v>
      </c>
      <c r="N10" s="50">
        <v>0.84</v>
      </c>
      <c r="O10" s="49">
        <v>40</v>
      </c>
      <c r="P10" s="47">
        <v>119400</v>
      </c>
      <c r="Q10" s="45">
        <v>0.5</v>
      </c>
      <c r="R10" s="45">
        <v>1</v>
      </c>
      <c r="S10" s="48">
        <v>2</v>
      </c>
      <c r="T10" s="51">
        <v>3</v>
      </c>
      <c r="U10" s="51">
        <v>92</v>
      </c>
      <c r="V10" s="50">
        <f>88/84</f>
        <v>1.0476190476190477</v>
      </c>
      <c r="W10" s="48">
        <f>88/80</f>
        <v>1.1000000000000001</v>
      </c>
      <c r="X10" s="48">
        <v>2</v>
      </c>
      <c r="Y10" s="48">
        <v>2</v>
      </c>
      <c r="Z10" s="47">
        <v>0</v>
      </c>
      <c r="AA10" s="48">
        <v>2</v>
      </c>
      <c r="AB10" s="48">
        <v>1</v>
      </c>
      <c r="AC10" s="48">
        <v>2</v>
      </c>
      <c r="AD10" s="50">
        <f>23/80</f>
        <v>0.28749999999999998</v>
      </c>
      <c r="AE10" s="48">
        <v>8</v>
      </c>
      <c r="AF10" s="48">
        <v>2</v>
      </c>
      <c r="AG10" s="48">
        <v>0.3</v>
      </c>
      <c r="AH10" s="48">
        <v>1.3</v>
      </c>
      <c r="AI10" s="48">
        <v>1</v>
      </c>
      <c r="AJ10" s="48" t="s">
        <v>193</v>
      </c>
      <c r="AK10" s="48">
        <v>0.3</v>
      </c>
      <c r="AL10" s="48">
        <v>86</v>
      </c>
      <c r="AM10" s="48">
        <v>80</v>
      </c>
      <c r="AN10" s="48">
        <v>14.81</v>
      </c>
      <c r="AO10" s="48">
        <v>53.56</v>
      </c>
      <c r="AP10" s="48">
        <v>68.37</v>
      </c>
      <c r="AQ10" s="48">
        <v>1877</v>
      </c>
      <c r="AR10" s="48">
        <v>6790</v>
      </c>
      <c r="AS10" s="49">
        <f t="shared" si="1"/>
        <v>0.27643593519882181</v>
      </c>
      <c r="AT10" s="48">
        <v>2</v>
      </c>
      <c r="AU10" s="48">
        <v>2</v>
      </c>
      <c r="AV10" s="48">
        <v>2</v>
      </c>
      <c r="AW10" s="48">
        <v>1</v>
      </c>
      <c r="AX10" s="48">
        <v>2.1</v>
      </c>
      <c r="AY10" s="45">
        <v>0.42</v>
      </c>
      <c r="AZ10" s="46">
        <v>0.9</v>
      </c>
      <c r="BA10" s="46">
        <v>0.23</v>
      </c>
      <c r="BB10" s="48">
        <v>184</v>
      </c>
      <c r="BC10" s="48">
        <v>205</v>
      </c>
      <c r="BD10" s="48">
        <v>175</v>
      </c>
      <c r="BE10" s="48">
        <v>172</v>
      </c>
      <c r="BF10" s="50">
        <f t="shared" si="2"/>
        <v>3.36996336996337</v>
      </c>
      <c r="BG10" s="50">
        <f t="shared" si="3"/>
        <v>3.7545787545787546</v>
      </c>
      <c r="BH10" s="50">
        <f t="shared" si="4"/>
        <v>3.2051282051282048</v>
      </c>
      <c r="BI10" s="50">
        <f t="shared" si="5"/>
        <v>3.1501831501831501</v>
      </c>
      <c r="BJ10" s="50">
        <f t="shared" si="6"/>
        <v>2.2999999999999998</v>
      </c>
      <c r="BK10" s="50">
        <f t="shared" si="7"/>
        <v>2.5625</v>
      </c>
      <c r="BL10" s="50">
        <f t="shared" si="8"/>
        <v>2.1875</v>
      </c>
      <c r="BM10" s="50">
        <f t="shared" si="9"/>
        <v>2.15</v>
      </c>
      <c r="BN10" s="50">
        <v>68.3</v>
      </c>
      <c r="BO10" s="50">
        <v>53.79</v>
      </c>
      <c r="BP10" s="50">
        <v>25.26</v>
      </c>
      <c r="BQ10" s="50">
        <v>45.58</v>
      </c>
      <c r="BR10" s="50">
        <v>25.76</v>
      </c>
      <c r="BS10" s="50">
        <v>20.350000000000001</v>
      </c>
      <c r="BT10" s="50">
        <v>24.77</v>
      </c>
      <c r="BU10" s="45">
        <v>0.16</v>
      </c>
      <c r="BV10" s="45">
        <v>0.42</v>
      </c>
      <c r="BW10" s="45">
        <v>0.17</v>
      </c>
      <c r="BX10" s="45">
        <v>0.19</v>
      </c>
      <c r="BY10" s="45">
        <v>0</v>
      </c>
      <c r="BZ10" s="45">
        <v>0.16</v>
      </c>
      <c r="CA10" s="45">
        <v>0.06</v>
      </c>
      <c r="CB10" s="49">
        <v>7.8</v>
      </c>
      <c r="CC10" s="48">
        <v>25</v>
      </c>
      <c r="CD10" s="45">
        <v>0.47</v>
      </c>
      <c r="CE10" s="47">
        <v>103</v>
      </c>
      <c r="CF10" s="46">
        <v>0.72</v>
      </c>
      <c r="CG10" s="45">
        <v>0.47</v>
      </c>
      <c r="CH10" s="45">
        <v>0.53</v>
      </c>
      <c r="CI10" s="45">
        <v>0.47</v>
      </c>
      <c r="CJ10" s="45">
        <v>0.68</v>
      </c>
      <c r="CK10" s="45">
        <v>0.44</v>
      </c>
      <c r="CL10" s="45">
        <v>0.27</v>
      </c>
      <c r="CM10" s="45">
        <v>0.02</v>
      </c>
      <c r="CN10" s="45">
        <v>0.27</v>
      </c>
      <c r="CO10" s="45">
        <v>0</v>
      </c>
      <c r="CP10" s="45">
        <v>0.84</v>
      </c>
      <c r="CQ10" s="45">
        <v>0.84</v>
      </c>
      <c r="CR10" s="45">
        <v>0.79</v>
      </c>
      <c r="CS10" s="45">
        <v>0.53</v>
      </c>
      <c r="CT10" s="45">
        <v>0.79</v>
      </c>
      <c r="CU10" s="45">
        <v>0.57999999999999996</v>
      </c>
    </row>
    <row r="11" spans="1:99" s="54" customFormat="1" ht="27" customHeight="1" x14ac:dyDescent="0.25">
      <c r="A11" s="53" t="s">
        <v>200</v>
      </c>
      <c r="B11" s="48">
        <v>222</v>
      </c>
      <c r="C11" s="48">
        <v>1</v>
      </c>
      <c r="D11" s="48">
        <v>1</v>
      </c>
      <c r="E11" s="48">
        <v>235</v>
      </c>
      <c r="F11" s="48">
        <f>235*0.9</f>
        <v>211.5</v>
      </c>
      <c r="G11" s="48">
        <v>350</v>
      </c>
      <c r="H11" s="50">
        <f t="shared" si="0"/>
        <v>1.6548463356973995</v>
      </c>
      <c r="I11" s="45">
        <v>0.49</v>
      </c>
      <c r="J11" s="45">
        <v>0.82</v>
      </c>
      <c r="K11" s="50">
        <v>1.9</v>
      </c>
      <c r="L11" s="50">
        <v>1.82</v>
      </c>
      <c r="M11" s="50">
        <v>1.33</v>
      </c>
      <c r="N11" s="50">
        <v>0.71</v>
      </c>
      <c r="O11" s="49">
        <v>35.9</v>
      </c>
      <c r="P11" s="47">
        <v>122500</v>
      </c>
      <c r="Q11" s="45">
        <v>0.52</v>
      </c>
      <c r="R11" s="45">
        <v>0.93</v>
      </c>
      <c r="S11" s="48">
        <v>2</v>
      </c>
      <c r="T11" s="51">
        <v>2</v>
      </c>
      <c r="U11" s="51">
        <v>249</v>
      </c>
      <c r="V11" s="50">
        <f>249/235</f>
        <v>1.0595744680851065</v>
      </c>
      <c r="W11" s="50">
        <f>249/350</f>
        <v>0.71142857142857141</v>
      </c>
      <c r="X11" s="48">
        <v>2</v>
      </c>
      <c r="Y11" s="48">
        <v>1</v>
      </c>
      <c r="Z11" s="47">
        <v>110</v>
      </c>
      <c r="AA11" s="48">
        <v>1</v>
      </c>
      <c r="AB11" s="48">
        <v>2</v>
      </c>
      <c r="AC11" s="48">
        <v>2</v>
      </c>
      <c r="AD11" s="50">
        <f>32/350</f>
        <v>9.1428571428571428E-2</v>
      </c>
      <c r="AE11" s="48">
        <v>12</v>
      </c>
      <c r="AF11" s="48">
        <v>2</v>
      </c>
      <c r="AG11" s="48">
        <v>0.4</v>
      </c>
      <c r="AH11" s="48">
        <v>1</v>
      </c>
      <c r="AI11" s="48">
        <v>1</v>
      </c>
      <c r="AJ11" s="48">
        <v>0.7</v>
      </c>
      <c r="AK11" s="48">
        <v>0.2</v>
      </c>
      <c r="AL11" s="48">
        <v>88</v>
      </c>
      <c r="AM11" s="48">
        <v>67</v>
      </c>
      <c r="AN11" s="48">
        <v>67.59</v>
      </c>
      <c r="AO11" s="48">
        <v>129.61000000000001</v>
      </c>
      <c r="AP11" s="48">
        <v>197.2</v>
      </c>
      <c r="AQ11" s="48">
        <v>8754</v>
      </c>
      <c r="AR11" s="48">
        <v>16931</v>
      </c>
      <c r="AS11" s="49">
        <f t="shared" si="1"/>
        <v>0.51703974957179144</v>
      </c>
      <c r="AT11" s="48">
        <v>1</v>
      </c>
      <c r="AU11" s="48">
        <v>2</v>
      </c>
      <c r="AV11" s="58">
        <v>1</v>
      </c>
      <c r="AW11" s="58">
        <v>2</v>
      </c>
      <c r="AX11" s="48">
        <v>1.6</v>
      </c>
      <c r="AY11" s="45">
        <v>0.18</v>
      </c>
      <c r="AZ11" s="56">
        <v>0.77</v>
      </c>
      <c r="BA11" s="56">
        <v>0.47</v>
      </c>
      <c r="BB11" s="58">
        <v>458</v>
      </c>
      <c r="BC11" s="58">
        <v>453</v>
      </c>
      <c r="BD11" s="58">
        <v>410</v>
      </c>
      <c r="BE11" s="58">
        <v>431</v>
      </c>
      <c r="BF11" s="50">
        <f t="shared" si="2"/>
        <v>2.16548463356974</v>
      </c>
      <c r="BG11" s="50">
        <f t="shared" si="3"/>
        <v>2.1418439716312059</v>
      </c>
      <c r="BH11" s="50">
        <f t="shared" si="4"/>
        <v>1.9385342789598108</v>
      </c>
      <c r="BI11" s="50">
        <f t="shared" si="5"/>
        <v>2.0378250591016549</v>
      </c>
      <c r="BJ11" s="50">
        <f t="shared" si="6"/>
        <v>1.3085714285714285</v>
      </c>
      <c r="BK11" s="50">
        <f t="shared" si="7"/>
        <v>1.2942857142857143</v>
      </c>
      <c r="BL11" s="50">
        <f t="shared" si="8"/>
        <v>1.1714285714285715</v>
      </c>
      <c r="BM11" s="50">
        <f t="shared" si="9"/>
        <v>1.2314285714285715</v>
      </c>
      <c r="BN11" s="60">
        <v>73.59</v>
      </c>
      <c r="BO11" s="60">
        <v>55.74</v>
      </c>
      <c r="BP11" s="60">
        <v>59.57</v>
      </c>
      <c r="BQ11" s="60">
        <v>67.260000000000005</v>
      </c>
      <c r="BR11" s="60">
        <v>46.32</v>
      </c>
      <c r="BS11" s="60">
        <v>35.03</v>
      </c>
      <c r="BT11" s="60">
        <v>50.25</v>
      </c>
      <c r="BU11" s="55">
        <v>0.45</v>
      </c>
      <c r="BV11" s="55">
        <v>0.4</v>
      </c>
      <c r="BW11" s="55">
        <v>0.08</v>
      </c>
      <c r="BX11" s="55">
        <v>0.27</v>
      </c>
      <c r="BY11" s="55">
        <v>0.03</v>
      </c>
      <c r="BZ11" s="55">
        <v>0.13</v>
      </c>
      <c r="CA11" s="55">
        <v>0.08</v>
      </c>
      <c r="CB11" s="59">
        <v>8</v>
      </c>
      <c r="CC11" s="58">
        <v>24</v>
      </c>
      <c r="CD11" s="55">
        <v>0.66</v>
      </c>
      <c r="CE11" s="57">
        <v>172</v>
      </c>
      <c r="CF11" s="56">
        <v>0.65</v>
      </c>
      <c r="CG11" s="55">
        <v>0.56000000000000005</v>
      </c>
      <c r="CH11" s="55">
        <v>0.44</v>
      </c>
      <c r="CI11" s="55">
        <v>0.44</v>
      </c>
      <c r="CJ11" s="55">
        <v>0.84</v>
      </c>
      <c r="CK11" s="55">
        <v>0.25</v>
      </c>
      <c r="CL11" s="55">
        <v>0.18</v>
      </c>
      <c r="CM11" s="55">
        <v>0.26</v>
      </c>
      <c r="CN11" s="55">
        <v>0.31</v>
      </c>
      <c r="CO11" s="55">
        <v>0</v>
      </c>
      <c r="CP11" s="55">
        <v>0.87</v>
      </c>
      <c r="CQ11" s="55">
        <v>0.85</v>
      </c>
      <c r="CR11" s="55">
        <v>0.69</v>
      </c>
      <c r="CS11" s="55">
        <v>0.26</v>
      </c>
      <c r="CT11" s="55">
        <v>0.8</v>
      </c>
      <c r="CU11" s="55">
        <v>0.43</v>
      </c>
    </row>
    <row r="12" spans="1:99" s="48" customFormat="1" x14ac:dyDescent="0.25">
      <c r="A12" s="53" t="s">
        <v>199</v>
      </c>
      <c r="B12" s="48">
        <v>221</v>
      </c>
      <c r="C12" s="48">
        <v>1</v>
      </c>
      <c r="D12" s="48">
        <v>2</v>
      </c>
      <c r="E12" s="48">
        <v>212</v>
      </c>
      <c r="F12" s="48">
        <f>0.96*212</f>
        <v>203.51999999999998</v>
      </c>
      <c r="G12" s="48">
        <v>305</v>
      </c>
      <c r="H12" s="50">
        <f t="shared" si="0"/>
        <v>1.498624213836478</v>
      </c>
      <c r="I12" s="45">
        <v>0.44</v>
      </c>
      <c r="J12" s="45">
        <v>0.83</v>
      </c>
      <c r="K12" s="50">
        <v>1.86</v>
      </c>
      <c r="L12" s="50">
        <v>1.66</v>
      </c>
      <c r="M12" s="50">
        <v>1.21</v>
      </c>
      <c r="N12" s="50">
        <v>0.71</v>
      </c>
      <c r="O12" s="49">
        <v>34.9</v>
      </c>
      <c r="P12" s="47">
        <v>101900</v>
      </c>
      <c r="Q12" s="45">
        <v>0.36</v>
      </c>
      <c r="R12" s="45">
        <v>0.91</v>
      </c>
      <c r="S12" s="48">
        <v>2</v>
      </c>
      <c r="T12" s="51">
        <v>2</v>
      </c>
      <c r="U12" s="51">
        <v>221</v>
      </c>
      <c r="V12" s="50">
        <f>221/212</f>
        <v>1.0424528301886793</v>
      </c>
      <c r="W12" s="50">
        <f>221/305</f>
        <v>0.72459016393442621</v>
      </c>
      <c r="X12" s="48">
        <v>2</v>
      </c>
      <c r="Y12" s="48">
        <v>1</v>
      </c>
      <c r="Z12" s="47">
        <v>100</v>
      </c>
      <c r="AA12" s="48">
        <v>1</v>
      </c>
      <c r="AB12" s="48">
        <v>1</v>
      </c>
      <c r="AC12" s="48">
        <v>1</v>
      </c>
      <c r="AD12" s="50">
        <f>133/305</f>
        <v>0.43606557377049182</v>
      </c>
      <c r="AE12" s="48">
        <v>4</v>
      </c>
      <c r="AF12" s="48">
        <v>2</v>
      </c>
      <c r="AG12" s="48">
        <v>0.4</v>
      </c>
      <c r="AH12" s="48">
        <v>0.5</v>
      </c>
      <c r="AI12" s="48">
        <v>0.5</v>
      </c>
      <c r="AJ12" s="48">
        <v>0.2</v>
      </c>
      <c r="AK12" s="48">
        <v>0.1</v>
      </c>
      <c r="AL12" s="48">
        <v>89</v>
      </c>
      <c r="AM12" s="48">
        <v>73</v>
      </c>
      <c r="AN12" s="48">
        <v>45.44</v>
      </c>
      <c r="AO12" s="48">
        <v>17.760000000000002</v>
      </c>
      <c r="AP12" s="48">
        <v>63.2</v>
      </c>
      <c r="AQ12" s="48">
        <v>5956</v>
      </c>
      <c r="AR12" s="48">
        <v>2328</v>
      </c>
      <c r="AS12" s="49">
        <f t="shared" si="1"/>
        <v>2.5584192439862541</v>
      </c>
      <c r="AT12" s="48">
        <v>1</v>
      </c>
      <c r="AU12" s="48">
        <v>2</v>
      </c>
      <c r="AV12" s="58">
        <v>2</v>
      </c>
      <c r="AW12" s="58">
        <v>1</v>
      </c>
      <c r="AX12" s="48">
        <v>1.7</v>
      </c>
      <c r="AY12" s="45">
        <v>0.17</v>
      </c>
      <c r="AZ12" s="46" t="s">
        <v>192</v>
      </c>
      <c r="BA12" s="46" t="s">
        <v>192</v>
      </c>
      <c r="BB12" s="58">
        <v>431</v>
      </c>
      <c r="BC12" s="58">
        <v>440</v>
      </c>
      <c r="BD12" s="58">
        <v>461</v>
      </c>
      <c r="BE12" s="58">
        <v>450</v>
      </c>
      <c r="BF12" s="50">
        <f t="shared" si="2"/>
        <v>2.1177279874213837</v>
      </c>
      <c r="BG12" s="50">
        <f t="shared" si="3"/>
        <v>2.1619496855345912</v>
      </c>
      <c r="BH12" s="50">
        <f t="shared" si="4"/>
        <v>2.2651336477987423</v>
      </c>
      <c r="BI12" s="50">
        <f t="shared" si="5"/>
        <v>2.2110849056603774</v>
      </c>
      <c r="BJ12" s="50">
        <f t="shared" si="6"/>
        <v>1.4131147540983606</v>
      </c>
      <c r="BK12" s="50">
        <f t="shared" si="7"/>
        <v>1.4426229508196722</v>
      </c>
      <c r="BL12" s="50">
        <f t="shared" si="8"/>
        <v>1.5114754098360657</v>
      </c>
      <c r="BM12" s="50">
        <f t="shared" si="9"/>
        <v>1.4754098360655739</v>
      </c>
      <c r="BN12" s="60">
        <v>35.700000000000003</v>
      </c>
      <c r="BO12" s="60">
        <v>34.69</v>
      </c>
      <c r="BP12" s="60">
        <v>34.159999999999997</v>
      </c>
      <c r="BQ12" s="60">
        <v>33.69</v>
      </c>
      <c r="BR12" s="60">
        <v>30.98</v>
      </c>
      <c r="BS12" s="60">
        <v>30.37</v>
      </c>
      <c r="BT12" s="60">
        <v>34.97</v>
      </c>
      <c r="BU12" s="55">
        <v>0.23</v>
      </c>
      <c r="BV12" s="55">
        <v>0.34</v>
      </c>
      <c r="BW12" s="55">
        <v>0.06</v>
      </c>
      <c r="BX12" s="55">
        <v>0.38</v>
      </c>
      <c r="BY12" s="55">
        <v>0.03</v>
      </c>
      <c r="BZ12" s="55">
        <v>0.1</v>
      </c>
      <c r="CA12" s="55">
        <v>0</v>
      </c>
      <c r="CB12" s="59">
        <v>8.1</v>
      </c>
      <c r="CC12" s="58">
        <v>30</v>
      </c>
      <c r="CD12" s="55">
        <v>0.56999999999999995</v>
      </c>
      <c r="CE12" s="57">
        <v>180</v>
      </c>
      <c r="CF12" s="56">
        <v>0.75</v>
      </c>
      <c r="CG12" s="55">
        <v>0.53</v>
      </c>
      <c r="CH12" s="55">
        <v>0.47</v>
      </c>
      <c r="CI12" s="55">
        <v>0.47</v>
      </c>
      <c r="CJ12" s="55">
        <v>0.63</v>
      </c>
      <c r="CK12" s="55">
        <v>0.26</v>
      </c>
      <c r="CL12" s="55">
        <v>0.17</v>
      </c>
      <c r="CM12" s="55">
        <v>0.19</v>
      </c>
      <c r="CN12" s="55">
        <v>0.38</v>
      </c>
      <c r="CO12" s="55">
        <v>0</v>
      </c>
      <c r="CP12" s="55">
        <v>0.94</v>
      </c>
      <c r="CQ12" s="55">
        <v>0.89</v>
      </c>
      <c r="CR12" s="55">
        <v>0.7</v>
      </c>
      <c r="CS12" s="55">
        <v>0.13</v>
      </c>
      <c r="CT12" s="55">
        <v>0.84</v>
      </c>
      <c r="CU12" s="55">
        <v>0.38</v>
      </c>
    </row>
    <row r="13" spans="1:99" s="54" customFormat="1" ht="35.1" customHeight="1" x14ac:dyDescent="0.25">
      <c r="A13" s="53" t="s">
        <v>198</v>
      </c>
      <c r="B13" s="48">
        <v>222</v>
      </c>
      <c r="C13" s="48">
        <v>1</v>
      </c>
      <c r="D13" s="48">
        <v>2</v>
      </c>
      <c r="E13" s="48">
        <v>238</v>
      </c>
      <c r="F13" s="48">
        <f>238*0.96</f>
        <v>228.48</v>
      </c>
      <c r="G13" s="48">
        <v>342</v>
      </c>
      <c r="H13" s="50">
        <f t="shared" si="0"/>
        <v>1.4968487394957983</v>
      </c>
      <c r="I13" s="45">
        <v>0.51</v>
      </c>
      <c r="J13" s="45">
        <v>0.78</v>
      </c>
      <c r="K13" s="50">
        <v>1.91</v>
      </c>
      <c r="L13" s="50">
        <v>1.69</v>
      </c>
      <c r="M13" s="50">
        <v>1.02</v>
      </c>
      <c r="N13" s="50">
        <v>0.61</v>
      </c>
      <c r="O13" s="49">
        <v>32.299999999999997</v>
      </c>
      <c r="P13" s="47">
        <v>85900</v>
      </c>
      <c r="Q13" s="45">
        <v>0.49</v>
      </c>
      <c r="R13" s="45">
        <v>0.89</v>
      </c>
      <c r="S13" s="48">
        <v>2</v>
      </c>
      <c r="T13" s="51">
        <v>2</v>
      </c>
      <c r="U13" s="51">
        <v>255</v>
      </c>
      <c r="V13" s="50">
        <f>255/238</f>
        <v>1.0714285714285714</v>
      </c>
      <c r="W13" s="50">
        <f>255/342</f>
        <v>0.74561403508771928</v>
      </c>
      <c r="X13" s="48">
        <v>2</v>
      </c>
      <c r="Y13" s="48">
        <v>2</v>
      </c>
      <c r="Z13" s="47">
        <v>95</v>
      </c>
      <c r="AA13" s="48">
        <v>1</v>
      </c>
      <c r="AB13" s="48">
        <v>1</v>
      </c>
      <c r="AC13" s="48">
        <v>2</v>
      </c>
      <c r="AD13" s="50">
        <f>86/342</f>
        <v>0.25146198830409355</v>
      </c>
      <c r="AE13" s="48">
        <v>15</v>
      </c>
      <c r="AF13" s="48">
        <v>2</v>
      </c>
      <c r="AG13" s="48">
        <v>0.5</v>
      </c>
      <c r="AH13" s="48">
        <v>0.1</v>
      </c>
      <c r="AI13" s="48">
        <v>0.6</v>
      </c>
      <c r="AJ13" s="48">
        <v>0.25</v>
      </c>
      <c r="AK13" s="48">
        <v>0.25</v>
      </c>
      <c r="AL13" s="48">
        <v>82</v>
      </c>
      <c r="AM13" s="48">
        <v>70</v>
      </c>
      <c r="AN13" s="48">
        <v>36.21</v>
      </c>
      <c r="AO13" s="48">
        <v>77.010000000000005</v>
      </c>
      <c r="AP13" s="48">
        <v>113.22</v>
      </c>
      <c r="AQ13" s="48">
        <v>4417</v>
      </c>
      <c r="AR13" s="48">
        <v>9393</v>
      </c>
      <c r="AS13" s="49">
        <f t="shared" si="1"/>
        <v>0.4702437985734057</v>
      </c>
      <c r="AT13" s="48">
        <v>2</v>
      </c>
      <c r="AU13" s="48">
        <v>2</v>
      </c>
      <c r="AV13" s="48">
        <v>1</v>
      </c>
      <c r="AW13" s="48">
        <v>2</v>
      </c>
      <c r="AX13" s="48">
        <v>1.4</v>
      </c>
      <c r="AY13" s="45">
        <v>0.09</v>
      </c>
      <c r="AZ13" s="46">
        <v>0.96</v>
      </c>
      <c r="BA13" s="46">
        <v>0.45</v>
      </c>
      <c r="BB13" s="48">
        <v>448</v>
      </c>
      <c r="BC13" s="48">
        <v>460</v>
      </c>
      <c r="BD13" s="48">
        <v>434</v>
      </c>
      <c r="BE13" s="48">
        <v>458</v>
      </c>
      <c r="BF13" s="50">
        <f t="shared" si="2"/>
        <v>1.9607843137254903</v>
      </c>
      <c r="BG13" s="50">
        <f t="shared" si="3"/>
        <v>2.0133053221288515</v>
      </c>
      <c r="BH13" s="50">
        <f t="shared" si="4"/>
        <v>1.8995098039215688</v>
      </c>
      <c r="BI13" s="50">
        <f t="shared" si="5"/>
        <v>2.0045518207282913</v>
      </c>
      <c r="BJ13" s="50">
        <f t="shared" si="6"/>
        <v>1.3099415204678362</v>
      </c>
      <c r="BK13" s="50">
        <f t="shared" si="7"/>
        <v>1.3450292397660819</v>
      </c>
      <c r="BL13" s="50">
        <f t="shared" si="8"/>
        <v>1.2690058479532165</v>
      </c>
      <c r="BM13" s="50">
        <f t="shared" si="9"/>
        <v>1.3391812865497077</v>
      </c>
      <c r="BN13" s="50">
        <v>62.28</v>
      </c>
      <c r="BO13" s="50">
        <v>48.95</v>
      </c>
      <c r="BP13" s="50">
        <v>43.07</v>
      </c>
      <c r="BQ13" s="50">
        <v>59.64</v>
      </c>
      <c r="BR13" s="50">
        <v>45.02</v>
      </c>
      <c r="BS13" s="50">
        <v>36.619999999999997</v>
      </c>
      <c r="BT13" s="50">
        <v>52.72</v>
      </c>
      <c r="BU13" s="45">
        <v>0.34</v>
      </c>
      <c r="BV13" s="45">
        <v>0.28999999999999998</v>
      </c>
      <c r="BW13" s="45">
        <v>0.1</v>
      </c>
      <c r="BX13" s="45">
        <v>0.26</v>
      </c>
      <c r="BY13" s="45">
        <v>0.04</v>
      </c>
      <c r="BZ13" s="45">
        <v>0.15</v>
      </c>
      <c r="CA13" s="45">
        <v>0.06</v>
      </c>
      <c r="CB13" s="49">
        <v>6.3</v>
      </c>
      <c r="CC13" s="48">
        <v>27</v>
      </c>
      <c r="CD13" s="45">
        <v>0.56000000000000005</v>
      </c>
      <c r="CE13" s="47">
        <v>168</v>
      </c>
      <c r="CF13" s="46">
        <v>0.74</v>
      </c>
      <c r="CG13" s="45">
        <v>0.6</v>
      </c>
      <c r="CH13" s="45">
        <v>0.4</v>
      </c>
      <c r="CI13" s="45">
        <v>0.4</v>
      </c>
      <c r="CJ13" s="45">
        <v>0.71</v>
      </c>
      <c r="CK13" s="45">
        <v>0.3</v>
      </c>
      <c r="CL13" s="45">
        <v>0.19</v>
      </c>
      <c r="CM13" s="45">
        <v>0.23</v>
      </c>
      <c r="CN13" s="45">
        <v>0.27</v>
      </c>
      <c r="CO13" s="45">
        <v>0.01</v>
      </c>
      <c r="CP13" s="45">
        <v>0.9</v>
      </c>
      <c r="CQ13" s="45">
        <v>0.8</v>
      </c>
      <c r="CR13" s="45">
        <v>0.69</v>
      </c>
      <c r="CS13" s="45">
        <v>0.22</v>
      </c>
      <c r="CT13" s="45">
        <v>0.8</v>
      </c>
      <c r="CU13" s="45">
        <v>0.41</v>
      </c>
    </row>
    <row r="14" spans="1:99" s="54" customFormat="1" ht="35.1" customHeight="1" x14ac:dyDescent="0.25">
      <c r="A14" s="53" t="s">
        <v>197</v>
      </c>
      <c r="B14" s="48">
        <v>232</v>
      </c>
      <c r="C14" s="48">
        <v>2</v>
      </c>
      <c r="D14" s="48">
        <v>1</v>
      </c>
      <c r="E14" s="48">
        <v>146</v>
      </c>
      <c r="F14" s="48">
        <v>146</v>
      </c>
      <c r="G14" s="48">
        <v>230</v>
      </c>
      <c r="H14" s="50">
        <f t="shared" si="0"/>
        <v>1.5753424657534247</v>
      </c>
      <c r="I14" s="45">
        <v>0.25</v>
      </c>
      <c r="J14" s="45">
        <v>0.56999999999999995</v>
      </c>
      <c r="K14" s="50">
        <v>1.7</v>
      </c>
      <c r="L14" s="50">
        <v>1.62</v>
      </c>
      <c r="M14" s="50">
        <v>1.57</v>
      </c>
      <c r="N14" s="50">
        <v>0.97</v>
      </c>
      <c r="O14" s="49">
        <v>42</v>
      </c>
      <c r="P14" s="47">
        <v>130000</v>
      </c>
      <c r="Q14" s="45">
        <v>0.5</v>
      </c>
      <c r="R14" s="45">
        <v>0.87</v>
      </c>
      <c r="S14" s="48">
        <v>1</v>
      </c>
      <c r="T14" s="51">
        <v>2</v>
      </c>
      <c r="U14" s="51">
        <v>211</v>
      </c>
      <c r="V14" s="50">
        <f>220/146</f>
        <v>1.5068493150684932</v>
      </c>
      <c r="W14" s="50">
        <f>220/230</f>
        <v>0.95652173913043481</v>
      </c>
      <c r="X14" s="48">
        <v>1</v>
      </c>
      <c r="Y14" s="48">
        <v>1</v>
      </c>
      <c r="Z14" s="47">
        <v>0</v>
      </c>
      <c r="AA14" s="48">
        <v>2</v>
      </c>
      <c r="AB14" s="48">
        <v>1</v>
      </c>
      <c r="AC14" s="48">
        <v>0</v>
      </c>
      <c r="AD14" s="50">
        <f>83/230</f>
        <v>0.36086956521739133</v>
      </c>
      <c r="AE14" s="48">
        <v>5</v>
      </c>
      <c r="AF14" s="48">
        <v>2</v>
      </c>
      <c r="AG14" s="48">
        <v>0.5</v>
      </c>
      <c r="AH14" s="48">
        <v>0.1</v>
      </c>
      <c r="AI14" s="48">
        <v>0.1</v>
      </c>
      <c r="AJ14" s="48" t="s">
        <v>193</v>
      </c>
      <c r="AK14" s="48">
        <v>0.5</v>
      </c>
      <c r="AL14" s="48">
        <v>75</v>
      </c>
      <c r="AM14" s="48">
        <v>57</v>
      </c>
      <c r="AN14" s="48">
        <v>18.16</v>
      </c>
      <c r="AO14" s="48">
        <v>3.57</v>
      </c>
      <c r="AP14" s="48">
        <v>21.72</v>
      </c>
      <c r="AQ14" s="48">
        <v>1207</v>
      </c>
      <c r="AR14" s="48">
        <v>237</v>
      </c>
      <c r="AS14" s="49">
        <f t="shared" si="1"/>
        <v>5.0928270042194095</v>
      </c>
      <c r="AT14" s="48">
        <v>2</v>
      </c>
      <c r="AU14" s="48">
        <v>2</v>
      </c>
      <c r="AV14" s="58">
        <v>1</v>
      </c>
      <c r="AW14" s="58">
        <v>2</v>
      </c>
      <c r="AX14" s="48">
        <v>1.8</v>
      </c>
      <c r="AY14" s="45">
        <v>0.25</v>
      </c>
      <c r="AZ14" s="56" t="s">
        <v>192</v>
      </c>
      <c r="BA14" s="56" t="s">
        <v>192</v>
      </c>
      <c r="BB14" s="58">
        <v>567</v>
      </c>
      <c r="BC14" s="58">
        <v>612</v>
      </c>
      <c r="BD14" s="58">
        <v>508</v>
      </c>
      <c r="BE14" s="58">
        <v>464</v>
      </c>
      <c r="BF14" s="50">
        <f t="shared" si="2"/>
        <v>3.8835616438356166</v>
      </c>
      <c r="BG14" s="50">
        <f t="shared" si="3"/>
        <v>4.1917808219178081</v>
      </c>
      <c r="BH14" s="50">
        <f t="shared" si="4"/>
        <v>3.4794520547945207</v>
      </c>
      <c r="BI14" s="50">
        <f t="shared" si="5"/>
        <v>3.1780821917808217</v>
      </c>
      <c r="BJ14" s="50">
        <f t="shared" si="6"/>
        <v>2.465217391304348</v>
      </c>
      <c r="BK14" s="50">
        <f t="shared" si="7"/>
        <v>2.6608695652173915</v>
      </c>
      <c r="BL14" s="50">
        <f t="shared" si="8"/>
        <v>2.2086956521739132</v>
      </c>
      <c r="BM14" s="50">
        <f t="shared" si="9"/>
        <v>2.017391304347826</v>
      </c>
      <c r="BN14" s="60">
        <v>114.89</v>
      </c>
      <c r="BO14" s="60">
        <v>110.94</v>
      </c>
      <c r="BP14" s="60">
        <v>113.84</v>
      </c>
      <c r="BQ14" s="60">
        <v>145.83000000000001</v>
      </c>
      <c r="BR14" s="60">
        <v>93.49</v>
      </c>
      <c r="BS14" s="60">
        <v>92.08</v>
      </c>
      <c r="BT14" s="60">
        <v>105.69</v>
      </c>
      <c r="BU14" s="55">
        <v>0.27</v>
      </c>
      <c r="BV14" s="55">
        <v>0.59</v>
      </c>
      <c r="BW14" s="55">
        <v>0.01</v>
      </c>
      <c r="BX14" s="55">
        <v>0.28000000000000003</v>
      </c>
      <c r="BY14" s="55">
        <v>0.01</v>
      </c>
      <c r="BZ14" s="55">
        <v>0.03</v>
      </c>
      <c r="CA14" s="55">
        <v>0.06</v>
      </c>
      <c r="CB14" s="59">
        <v>11.4</v>
      </c>
      <c r="CC14" s="58">
        <v>31</v>
      </c>
      <c r="CD14" s="55">
        <v>0.63</v>
      </c>
      <c r="CE14" s="57">
        <v>185</v>
      </c>
      <c r="CF14" s="56">
        <v>0.53</v>
      </c>
      <c r="CG14" s="55">
        <v>0.65</v>
      </c>
      <c r="CH14" s="55">
        <v>0.35</v>
      </c>
      <c r="CI14" s="55">
        <v>0.33</v>
      </c>
      <c r="CJ14" s="55">
        <v>0.61</v>
      </c>
      <c r="CK14" s="55">
        <v>0.59</v>
      </c>
      <c r="CL14" s="55">
        <v>0.25</v>
      </c>
      <c r="CM14" s="55">
        <v>0.06</v>
      </c>
      <c r="CN14" s="55">
        <v>0.1</v>
      </c>
      <c r="CO14" s="55">
        <v>0</v>
      </c>
      <c r="CP14" s="55">
        <v>0.91</v>
      </c>
      <c r="CQ14" s="55">
        <v>0.82</v>
      </c>
      <c r="CR14" s="55">
        <v>0.71</v>
      </c>
      <c r="CS14" s="55">
        <v>0.14000000000000001</v>
      </c>
      <c r="CT14" s="55">
        <v>0.82</v>
      </c>
      <c r="CU14" s="55">
        <v>0.34</v>
      </c>
    </row>
    <row r="15" spans="1:99" s="44" customFormat="1" ht="27" customHeight="1" x14ac:dyDescent="0.25">
      <c r="A15" s="53" t="s">
        <v>196</v>
      </c>
      <c r="B15" s="48">
        <v>232</v>
      </c>
      <c r="C15" s="48">
        <v>2</v>
      </c>
      <c r="D15" s="48">
        <v>2</v>
      </c>
      <c r="E15" s="48">
        <v>190</v>
      </c>
      <c r="F15" s="48">
        <v>190</v>
      </c>
      <c r="G15" s="48">
        <v>250</v>
      </c>
      <c r="H15" s="50">
        <f t="shared" si="0"/>
        <v>1.3157894736842106</v>
      </c>
      <c r="I15" s="45">
        <v>0.25</v>
      </c>
      <c r="J15" s="45">
        <v>0.67</v>
      </c>
      <c r="K15" s="50">
        <v>1.85</v>
      </c>
      <c r="L15" s="50">
        <v>1.67</v>
      </c>
      <c r="M15" s="50">
        <v>1.54</v>
      </c>
      <c r="N15" s="50">
        <v>0.93</v>
      </c>
      <c r="O15" s="49">
        <v>37.6</v>
      </c>
      <c r="P15" s="47">
        <v>117300</v>
      </c>
      <c r="Q15" s="45">
        <v>0.43</v>
      </c>
      <c r="R15" s="45">
        <v>0.93</v>
      </c>
      <c r="S15" s="48">
        <v>1</v>
      </c>
      <c r="T15" s="51">
        <v>1</v>
      </c>
      <c r="U15" s="51">
        <v>297</v>
      </c>
      <c r="V15" s="50">
        <f>295/190</f>
        <v>1.5526315789473684</v>
      </c>
      <c r="W15" s="48">
        <f>295/250</f>
        <v>1.18</v>
      </c>
      <c r="X15" s="48">
        <v>1</v>
      </c>
      <c r="Y15" s="48">
        <v>2</v>
      </c>
      <c r="Z15" s="47">
        <v>0</v>
      </c>
      <c r="AA15" s="48">
        <v>2</v>
      </c>
      <c r="AB15" s="48">
        <v>1</v>
      </c>
      <c r="AC15" s="48">
        <v>0</v>
      </c>
      <c r="AD15" s="50">
        <f>64/250</f>
        <v>0.25600000000000001</v>
      </c>
      <c r="AE15" s="48">
        <v>4</v>
      </c>
      <c r="AF15" s="48">
        <v>5</v>
      </c>
      <c r="AG15" s="48">
        <v>1.9</v>
      </c>
      <c r="AH15" s="48">
        <v>0.3</v>
      </c>
      <c r="AI15" s="48">
        <v>0.4</v>
      </c>
      <c r="AJ15" s="48" t="s">
        <v>193</v>
      </c>
      <c r="AK15" s="48">
        <v>1.9</v>
      </c>
      <c r="AL15" s="48">
        <v>39</v>
      </c>
      <c r="AM15" s="48">
        <v>45</v>
      </c>
      <c r="AN15" s="48">
        <v>25.01</v>
      </c>
      <c r="AO15" s="48">
        <v>3.37</v>
      </c>
      <c r="AP15" s="48">
        <v>28.38</v>
      </c>
      <c r="AQ15" s="48">
        <v>1700</v>
      </c>
      <c r="AR15" s="48">
        <v>229</v>
      </c>
      <c r="AS15" s="49">
        <f t="shared" si="1"/>
        <v>7.4235807860262009</v>
      </c>
      <c r="AT15" s="48">
        <v>1</v>
      </c>
      <c r="AU15" s="48">
        <v>2</v>
      </c>
      <c r="AV15" s="48">
        <v>2</v>
      </c>
      <c r="AW15" s="48">
        <v>5</v>
      </c>
      <c r="AX15" s="48">
        <v>2.7</v>
      </c>
      <c r="AY15" s="45">
        <v>0.82</v>
      </c>
      <c r="AZ15" s="46">
        <v>0.77</v>
      </c>
      <c r="BA15" s="46">
        <v>0.25</v>
      </c>
      <c r="BB15" s="48">
        <v>521</v>
      </c>
      <c r="BC15" s="48">
        <v>547</v>
      </c>
      <c r="BD15" s="48">
        <v>508</v>
      </c>
      <c r="BE15" s="48">
        <v>464</v>
      </c>
      <c r="BF15" s="50">
        <f t="shared" si="2"/>
        <v>2.7421052631578946</v>
      </c>
      <c r="BG15" s="50">
        <f t="shared" si="3"/>
        <v>2.8789473684210525</v>
      </c>
      <c r="BH15" s="50">
        <f t="shared" si="4"/>
        <v>2.6736842105263157</v>
      </c>
      <c r="BI15" s="50">
        <f t="shared" si="5"/>
        <v>2.4421052631578948</v>
      </c>
      <c r="BJ15" s="50">
        <f t="shared" si="6"/>
        <v>2.0840000000000001</v>
      </c>
      <c r="BK15" s="50">
        <f t="shared" si="7"/>
        <v>2.1880000000000002</v>
      </c>
      <c r="BL15" s="50">
        <f t="shared" si="8"/>
        <v>2.032</v>
      </c>
      <c r="BM15" s="50">
        <f t="shared" si="9"/>
        <v>1.8560000000000001</v>
      </c>
      <c r="BN15" s="50">
        <v>88.24</v>
      </c>
      <c r="BO15" s="50">
        <v>79.739999999999995</v>
      </c>
      <c r="BP15" s="50">
        <v>106.77</v>
      </c>
      <c r="BQ15" s="50">
        <v>91.23</v>
      </c>
      <c r="BR15" s="50">
        <v>57.56</v>
      </c>
      <c r="BS15" s="50">
        <v>62.03</v>
      </c>
      <c r="BT15" s="50">
        <v>71.2</v>
      </c>
      <c r="BU15" s="45">
        <v>0.39</v>
      </c>
      <c r="BV15" s="45">
        <v>0.56000000000000005</v>
      </c>
      <c r="BW15" s="45">
        <v>0.12</v>
      </c>
      <c r="BX15" s="45">
        <v>0.16</v>
      </c>
      <c r="BY15" s="45">
        <v>0.04</v>
      </c>
      <c r="BZ15" s="45">
        <v>0.03</v>
      </c>
      <c r="CA15" s="45">
        <v>0.02</v>
      </c>
      <c r="CB15" s="49">
        <v>8.6999999999999993</v>
      </c>
      <c r="CC15" s="48">
        <v>27</v>
      </c>
      <c r="CD15" s="45">
        <v>0.53</v>
      </c>
      <c r="CE15" s="47">
        <v>195</v>
      </c>
      <c r="CF15" s="46">
        <v>0.74</v>
      </c>
      <c r="CG15" s="45">
        <v>0.55000000000000004</v>
      </c>
      <c r="CH15" s="45">
        <v>0.45</v>
      </c>
      <c r="CI15" s="45">
        <v>0.41</v>
      </c>
      <c r="CJ15" s="45">
        <v>0.72</v>
      </c>
      <c r="CK15" s="45">
        <v>0.53</v>
      </c>
      <c r="CL15" s="45">
        <v>0.24</v>
      </c>
      <c r="CM15" s="45">
        <v>0.1</v>
      </c>
      <c r="CN15" s="45">
        <v>0.11</v>
      </c>
      <c r="CO15" s="45">
        <v>0.02</v>
      </c>
      <c r="CP15" s="45">
        <v>0.87</v>
      </c>
      <c r="CQ15" s="45">
        <v>0.71</v>
      </c>
      <c r="CR15" s="45">
        <v>0.88</v>
      </c>
      <c r="CS15" s="45">
        <v>0.67</v>
      </c>
      <c r="CT15" s="45">
        <v>0.87</v>
      </c>
      <c r="CU15" s="45">
        <v>0.7</v>
      </c>
    </row>
    <row r="16" spans="1:99" s="44" customFormat="1" ht="44.25" customHeight="1" x14ac:dyDescent="0.25">
      <c r="A16" s="53" t="s">
        <v>195</v>
      </c>
      <c r="B16" s="48">
        <v>222</v>
      </c>
      <c r="C16" s="48">
        <v>2</v>
      </c>
      <c r="D16" s="48">
        <v>2</v>
      </c>
      <c r="E16" s="48">
        <v>361</v>
      </c>
      <c r="F16" s="48">
        <f>361*0.98</f>
        <v>353.78</v>
      </c>
      <c r="G16" s="48">
        <v>700</v>
      </c>
      <c r="H16" s="50">
        <f t="shared" si="0"/>
        <v>1.9786307874950535</v>
      </c>
      <c r="I16" s="45">
        <v>0.48</v>
      </c>
      <c r="J16" s="45">
        <v>0.75</v>
      </c>
      <c r="K16" s="50">
        <v>2.11</v>
      </c>
      <c r="L16" s="50">
        <v>1.8</v>
      </c>
      <c r="M16" s="50">
        <v>1.42</v>
      </c>
      <c r="N16" s="50">
        <v>0.76</v>
      </c>
      <c r="O16" s="49">
        <v>34.799999999999997</v>
      </c>
      <c r="P16" s="47">
        <v>87900</v>
      </c>
      <c r="Q16" s="45">
        <v>0.52</v>
      </c>
      <c r="R16" s="45">
        <v>0.89</v>
      </c>
      <c r="S16" s="48">
        <v>2</v>
      </c>
      <c r="T16" s="51">
        <v>1</v>
      </c>
      <c r="U16" s="51">
        <v>478</v>
      </c>
      <c r="V16" s="50">
        <f>461/361</f>
        <v>1.2770083102493075</v>
      </c>
      <c r="W16" s="50">
        <f>461/700</f>
        <v>0.65857142857142859</v>
      </c>
      <c r="X16" s="48">
        <v>2</v>
      </c>
      <c r="Y16" s="48">
        <v>1</v>
      </c>
      <c r="Z16" s="47">
        <v>50</v>
      </c>
      <c r="AA16" s="48">
        <v>1</v>
      </c>
      <c r="AB16" s="48">
        <v>2</v>
      </c>
      <c r="AC16" s="48">
        <v>2</v>
      </c>
      <c r="AD16" s="50">
        <f>64/700</f>
        <v>9.1428571428571428E-2</v>
      </c>
      <c r="AE16" s="48">
        <v>12</v>
      </c>
      <c r="AF16" s="48">
        <v>5</v>
      </c>
      <c r="AG16" s="48">
        <v>2.2999999999999998</v>
      </c>
      <c r="AH16" s="48">
        <v>0.1</v>
      </c>
      <c r="AI16" s="48">
        <v>0.4</v>
      </c>
      <c r="AJ16" s="48" t="s">
        <v>193</v>
      </c>
      <c r="AK16" s="48">
        <v>0.8</v>
      </c>
      <c r="AL16" s="48">
        <v>51</v>
      </c>
      <c r="AM16" s="48">
        <v>47</v>
      </c>
      <c r="AN16" s="48">
        <v>25.53</v>
      </c>
      <c r="AO16" s="48">
        <v>3.72</v>
      </c>
      <c r="AP16" s="48">
        <v>29.25</v>
      </c>
      <c r="AQ16" s="48">
        <v>1400</v>
      </c>
      <c r="AR16" s="48">
        <v>204</v>
      </c>
      <c r="AS16" s="49">
        <f t="shared" si="1"/>
        <v>6.8627450980392153</v>
      </c>
      <c r="AT16" s="48">
        <v>2</v>
      </c>
      <c r="AU16" s="48">
        <v>2</v>
      </c>
      <c r="AV16" s="58">
        <v>1</v>
      </c>
      <c r="AW16" s="58">
        <v>2</v>
      </c>
      <c r="AX16" s="48">
        <v>1.6</v>
      </c>
      <c r="AY16" s="45">
        <v>0.13</v>
      </c>
      <c r="AZ16" s="56">
        <v>0.8</v>
      </c>
      <c r="BA16" s="56">
        <v>0.05</v>
      </c>
      <c r="BB16" s="58">
        <v>1577</v>
      </c>
      <c r="BC16" s="58">
        <v>1981</v>
      </c>
      <c r="BD16" s="58">
        <v>2073</v>
      </c>
      <c r="BE16" s="58">
        <v>1950</v>
      </c>
      <c r="BF16" s="50">
        <f t="shared" si="2"/>
        <v>4.4575725026852853</v>
      </c>
      <c r="BG16" s="50">
        <f t="shared" si="3"/>
        <v>5.5995251286110017</v>
      </c>
      <c r="BH16" s="50">
        <f t="shared" si="4"/>
        <v>5.859573746396066</v>
      </c>
      <c r="BI16" s="50">
        <f t="shared" si="5"/>
        <v>5.5119000508790776</v>
      </c>
      <c r="BJ16" s="50">
        <f t="shared" si="6"/>
        <v>2.2528571428571427</v>
      </c>
      <c r="BK16" s="50">
        <f t="shared" si="7"/>
        <v>2.83</v>
      </c>
      <c r="BL16" s="50">
        <f t="shared" si="8"/>
        <v>2.9614285714285713</v>
      </c>
      <c r="BM16" s="50">
        <f t="shared" si="9"/>
        <v>2.7857142857142856</v>
      </c>
      <c r="BN16" s="60">
        <v>105.26</v>
      </c>
      <c r="BO16" s="60">
        <v>119.39</v>
      </c>
      <c r="BP16" s="60">
        <v>102.49</v>
      </c>
      <c r="BQ16" s="60">
        <v>143.87</v>
      </c>
      <c r="BR16" s="60">
        <v>109.33</v>
      </c>
      <c r="BS16" s="60">
        <v>115.31</v>
      </c>
      <c r="BT16" s="60">
        <v>147.99</v>
      </c>
      <c r="BU16" s="55">
        <v>0.17</v>
      </c>
      <c r="BV16" s="55">
        <v>0.46</v>
      </c>
      <c r="BW16" s="55">
        <v>0.31</v>
      </c>
      <c r="BX16" s="55">
        <v>0.12</v>
      </c>
      <c r="BY16" s="55">
        <v>0.04</v>
      </c>
      <c r="BZ16" s="55">
        <v>0</v>
      </c>
      <c r="CA16" s="55">
        <v>0.01</v>
      </c>
      <c r="CB16" s="59">
        <v>8.3000000000000007</v>
      </c>
      <c r="CC16" s="58">
        <v>35</v>
      </c>
      <c r="CD16" s="55">
        <v>0.52</v>
      </c>
      <c r="CE16" s="57">
        <v>194</v>
      </c>
      <c r="CF16" s="56">
        <v>0.7</v>
      </c>
      <c r="CG16" s="55">
        <v>0.53</v>
      </c>
      <c r="CH16" s="55">
        <v>0.47</v>
      </c>
      <c r="CI16" s="55">
        <v>0.44</v>
      </c>
      <c r="CJ16" s="55">
        <v>0.71</v>
      </c>
      <c r="CK16" s="55">
        <v>0.46</v>
      </c>
      <c r="CL16" s="55">
        <v>0.23</v>
      </c>
      <c r="CM16" s="55">
        <v>0.25</v>
      </c>
      <c r="CN16" s="55">
        <v>0.05</v>
      </c>
      <c r="CO16" s="55">
        <v>0.01</v>
      </c>
      <c r="CP16" s="55">
        <v>0.87</v>
      </c>
      <c r="CQ16" s="55">
        <v>0.8</v>
      </c>
      <c r="CR16" s="55">
        <v>0.88</v>
      </c>
      <c r="CS16" s="55">
        <v>0.65</v>
      </c>
      <c r="CT16" s="55">
        <v>0.91</v>
      </c>
      <c r="CU16" s="55">
        <v>0.73</v>
      </c>
    </row>
    <row r="17" spans="1:99" s="54" customFormat="1" ht="35.1" customHeight="1" x14ac:dyDescent="0.25">
      <c r="A17" s="53" t="s">
        <v>194</v>
      </c>
      <c r="B17" s="48">
        <v>222</v>
      </c>
      <c r="C17" s="48">
        <v>2</v>
      </c>
      <c r="D17" s="48">
        <v>2</v>
      </c>
      <c r="E17" s="48">
        <v>244</v>
      </c>
      <c r="F17" s="48">
        <f>244*0.96</f>
        <v>234.23999999999998</v>
      </c>
      <c r="G17" s="48">
        <v>500</v>
      </c>
      <c r="H17" s="50">
        <f t="shared" si="0"/>
        <v>2.1345628415300548</v>
      </c>
      <c r="I17" s="45">
        <v>0.57999999999999996</v>
      </c>
      <c r="J17" s="45">
        <v>0.86</v>
      </c>
      <c r="K17" s="50">
        <v>1.79</v>
      </c>
      <c r="L17" s="50">
        <v>1.67</v>
      </c>
      <c r="M17" s="50">
        <v>1.55</v>
      </c>
      <c r="N17" s="50">
        <v>0.93</v>
      </c>
      <c r="O17" s="49">
        <v>40.6</v>
      </c>
      <c r="P17" s="47">
        <v>130800</v>
      </c>
      <c r="Q17" s="45">
        <v>0.52</v>
      </c>
      <c r="R17" s="45">
        <v>0.88</v>
      </c>
      <c r="S17" s="48">
        <v>2</v>
      </c>
      <c r="T17" s="51">
        <v>2</v>
      </c>
      <c r="U17" s="51">
        <v>339</v>
      </c>
      <c r="V17" s="50">
        <f>313/244</f>
        <v>1.2827868852459017</v>
      </c>
      <c r="W17" s="50">
        <f>313/500</f>
        <v>0.626</v>
      </c>
      <c r="X17" s="48">
        <v>2</v>
      </c>
      <c r="Y17" s="48">
        <v>1</v>
      </c>
      <c r="Z17" s="47">
        <v>50</v>
      </c>
      <c r="AA17" s="48">
        <v>2</v>
      </c>
      <c r="AB17" s="48">
        <v>1</v>
      </c>
      <c r="AC17" s="48">
        <v>2</v>
      </c>
      <c r="AD17" s="50">
        <f>66/500</f>
        <v>0.13200000000000001</v>
      </c>
      <c r="AE17" s="48">
        <v>13</v>
      </c>
      <c r="AF17" s="48">
        <v>5</v>
      </c>
      <c r="AG17" s="48">
        <v>2.7</v>
      </c>
      <c r="AH17" s="48">
        <v>0.1</v>
      </c>
      <c r="AI17" s="48">
        <v>0.1</v>
      </c>
      <c r="AJ17" s="48" t="s">
        <v>193</v>
      </c>
      <c r="AK17" s="48">
        <v>0.1</v>
      </c>
      <c r="AL17" s="48">
        <v>97</v>
      </c>
      <c r="AM17" s="48">
        <v>51</v>
      </c>
      <c r="AN17" s="48">
        <v>19.39</v>
      </c>
      <c r="AO17" s="48">
        <v>43.31</v>
      </c>
      <c r="AP17" s="48">
        <v>62.7</v>
      </c>
      <c r="AQ17" s="48">
        <v>1071</v>
      </c>
      <c r="AR17" s="48">
        <v>2392</v>
      </c>
      <c r="AS17" s="49">
        <f t="shared" si="1"/>
        <v>0.44774247491638797</v>
      </c>
      <c r="AT17" s="48">
        <v>2</v>
      </c>
      <c r="AU17" s="48">
        <v>1</v>
      </c>
      <c r="AV17" s="48">
        <v>0</v>
      </c>
      <c r="AW17" s="48">
        <v>1</v>
      </c>
      <c r="AX17" s="48">
        <v>2.5</v>
      </c>
      <c r="AY17" s="45">
        <v>0.71</v>
      </c>
      <c r="AZ17" s="46" t="s">
        <v>192</v>
      </c>
      <c r="BA17" s="46" t="s">
        <v>192</v>
      </c>
      <c r="BB17" s="48">
        <v>657</v>
      </c>
      <c r="BC17" s="48">
        <v>681</v>
      </c>
      <c r="BD17" s="48">
        <v>362</v>
      </c>
      <c r="BE17" s="48">
        <v>594</v>
      </c>
      <c r="BF17" s="50">
        <f t="shared" si="2"/>
        <v>2.8048155737704921</v>
      </c>
      <c r="BG17" s="50">
        <f t="shared" si="3"/>
        <v>2.9072745901639347</v>
      </c>
      <c r="BH17" s="50">
        <f t="shared" si="4"/>
        <v>1.5454234972677596</v>
      </c>
      <c r="BI17" s="50">
        <f t="shared" si="5"/>
        <v>2.535860655737705</v>
      </c>
      <c r="BJ17" s="50">
        <f t="shared" si="6"/>
        <v>1.3140000000000001</v>
      </c>
      <c r="BK17" s="50">
        <f t="shared" si="7"/>
        <v>1.3620000000000001</v>
      </c>
      <c r="BL17" s="50">
        <f t="shared" si="8"/>
        <v>0.72399999999999998</v>
      </c>
      <c r="BM17" s="50">
        <f t="shared" si="9"/>
        <v>1.1879999999999999</v>
      </c>
      <c r="BN17" s="50">
        <v>80.11</v>
      </c>
      <c r="BO17" s="50">
        <v>51.66</v>
      </c>
      <c r="BP17" s="50">
        <v>42.69</v>
      </c>
      <c r="BQ17" s="50">
        <v>86.76</v>
      </c>
      <c r="BR17" s="50">
        <v>62.27</v>
      </c>
      <c r="BS17" s="50">
        <v>31.03</v>
      </c>
      <c r="BT17" s="50">
        <v>69.48</v>
      </c>
      <c r="BU17" s="45">
        <v>0.42</v>
      </c>
      <c r="BV17" s="45">
        <v>0.6</v>
      </c>
      <c r="BW17" s="45">
        <v>0.11</v>
      </c>
      <c r="BX17" s="45">
        <v>0.16</v>
      </c>
      <c r="BY17" s="45">
        <v>0.05</v>
      </c>
      <c r="BZ17" s="45">
        <v>0.02</v>
      </c>
      <c r="CA17" s="45">
        <v>0.05</v>
      </c>
      <c r="CB17" s="49">
        <v>8.8000000000000007</v>
      </c>
      <c r="CC17" s="48">
        <v>27</v>
      </c>
      <c r="CD17" s="45">
        <v>0.52</v>
      </c>
      <c r="CE17" s="47">
        <v>174</v>
      </c>
      <c r="CF17" s="46">
        <v>0.71</v>
      </c>
      <c r="CG17" s="45">
        <v>0.6</v>
      </c>
      <c r="CH17" s="45">
        <v>0.4</v>
      </c>
      <c r="CI17" s="45">
        <v>0.4</v>
      </c>
      <c r="CJ17" s="45">
        <v>0.67</v>
      </c>
      <c r="CK17" s="45">
        <v>0.46</v>
      </c>
      <c r="CL17" s="45">
        <v>0.21</v>
      </c>
      <c r="CM17" s="45">
        <v>0.08</v>
      </c>
      <c r="CN17" s="45">
        <v>0.24</v>
      </c>
      <c r="CO17" s="45">
        <v>0.01</v>
      </c>
      <c r="CP17" s="45">
        <v>0.87</v>
      </c>
      <c r="CQ17" s="45">
        <v>0.75</v>
      </c>
      <c r="CR17" s="45">
        <v>0.85</v>
      </c>
      <c r="CS17" s="45">
        <v>0.4</v>
      </c>
      <c r="CT17" s="45">
        <v>0.88</v>
      </c>
      <c r="CU17" s="45">
        <v>0.53</v>
      </c>
    </row>
    <row r="18" spans="1:99" s="44" customFormat="1" ht="35.1" customHeight="1" x14ac:dyDescent="0.25">
      <c r="A18" s="53" t="s">
        <v>191</v>
      </c>
      <c r="B18" s="48">
        <v>220</v>
      </c>
      <c r="C18" s="48">
        <v>2</v>
      </c>
      <c r="D18" s="48">
        <v>1</v>
      </c>
      <c r="E18" s="48">
        <v>234</v>
      </c>
      <c r="F18" s="48">
        <f>234*0.95</f>
        <v>222.29999999999998</v>
      </c>
      <c r="G18" s="48">
        <v>386</v>
      </c>
      <c r="H18" s="50">
        <f t="shared" si="0"/>
        <v>1.7363922627080524</v>
      </c>
      <c r="I18" s="45">
        <v>0.51</v>
      </c>
      <c r="J18" s="45">
        <v>0.8</v>
      </c>
      <c r="K18" s="50">
        <v>1.78</v>
      </c>
      <c r="L18" s="50">
        <v>1.7</v>
      </c>
      <c r="M18" s="50">
        <v>1.33</v>
      </c>
      <c r="N18" s="50">
        <v>0.81</v>
      </c>
      <c r="O18" s="49">
        <v>32.9</v>
      </c>
      <c r="P18" s="52">
        <v>103500</v>
      </c>
      <c r="Q18" s="45">
        <v>0.6</v>
      </c>
      <c r="R18" s="45">
        <v>0.92</v>
      </c>
      <c r="S18" s="48">
        <v>2</v>
      </c>
      <c r="T18" s="51">
        <v>1</v>
      </c>
      <c r="U18" s="51">
        <v>279</v>
      </c>
      <c r="V18" s="50">
        <f>279/234</f>
        <v>1.1923076923076923</v>
      </c>
      <c r="W18" s="50">
        <f>279/386</f>
        <v>0.72279792746113991</v>
      </c>
      <c r="X18" s="48">
        <v>2</v>
      </c>
      <c r="Y18" s="48">
        <v>2</v>
      </c>
      <c r="Z18" s="47">
        <v>45</v>
      </c>
      <c r="AA18" s="48">
        <v>1</v>
      </c>
      <c r="AB18" s="48">
        <v>1</v>
      </c>
      <c r="AC18" s="48">
        <v>2</v>
      </c>
      <c r="AD18" s="50">
        <f>180/386</f>
        <v>0.46632124352331605</v>
      </c>
      <c r="AE18" s="48">
        <v>10</v>
      </c>
      <c r="AF18" s="48">
        <v>5</v>
      </c>
      <c r="AG18" s="48">
        <v>3.5</v>
      </c>
      <c r="AH18" s="48">
        <v>1.3</v>
      </c>
      <c r="AI18" s="48">
        <v>0.4</v>
      </c>
      <c r="AJ18" s="48" t="s">
        <v>190</v>
      </c>
      <c r="AK18" s="48" t="s">
        <v>190</v>
      </c>
      <c r="AL18" s="48">
        <v>66</v>
      </c>
      <c r="AM18" s="48">
        <v>57</v>
      </c>
      <c r="AN18" s="48">
        <v>53.54</v>
      </c>
      <c r="AO18" s="48">
        <v>0.99</v>
      </c>
      <c r="AP18" s="48">
        <v>54.53</v>
      </c>
      <c r="AQ18" s="48">
        <v>5951</v>
      </c>
      <c r="AR18" s="48">
        <v>110</v>
      </c>
      <c r="AS18" s="49">
        <f t="shared" si="1"/>
        <v>54.1</v>
      </c>
      <c r="AT18" s="48">
        <v>2</v>
      </c>
      <c r="AU18" s="48">
        <v>1</v>
      </c>
      <c r="AV18" s="48">
        <v>1</v>
      </c>
      <c r="AW18" s="48">
        <v>5</v>
      </c>
      <c r="AX18" s="48">
        <v>2.4</v>
      </c>
      <c r="AY18" s="45">
        <v>0.66</v>
      </c>
      <c r="AZ18" s="46">
        <v>0.9</v>
      </c>
      <c r="BA18" s="46">
        <v>0.31</v>
      </c>
      <c r="BB18" s="48">
        <v>880</v>
      </c>
      <c r="BC18" s="48">
        <v>883</v>
      </c>
      <c r="BD18" s="48">
        <v>943</v>
      </c>
      <c r="BE18" s="48">
        <v>717</v>
      </c>
      <c r="BF18" s="50">
        <f t="shared" si="2"/>
        <v>3.9586144849302749</v>
      </c>
      <c r="BG18" s="50">
        <f t="shared" si="3"/>
        <v>3.9721097615834462</v>
      </c>
      <c r="BH18" s="50">
        <f t="shared" si="4"/>
        <v>4.2420152946468743</v>
      </c>
      <c r="BI18" s="50">
        <f t="shared" si="5"/>
        <v>3.2253711201079627</v>
      </c>
      <c r="BJ18" s="50">
        <f t="shared" si="6"/>
        <v>2.2797927461139897</v>
      </c>
      <c r="BK18" s="50">
        <f t="shared" si="7"/>
        <v>2.2875647668393784</v>
      </c>
      <c r="BL18" s="50">
        <f t="shared" si="8"/>
        <v>2.4430051813471501</v>
      </c>
      <c r="BM18" s="50">
        <f t="shared" si="9"/>
        <v>1.8575129533678756</v>
      </c>
      <c r="BN18" s="50">
        <v>69</v>
      </c>
      <c r="BO18" s="50">
        <v>59.45</v>
      </c>
      <c r="BP18" s="50">
        <v>65.75</v>
      </c>
      <c r="BQ18" s="50">
        <v>51.11</v>
      </c>
      <c r="BR18" s="50">
        <v>56.56</v>
      </c>
      <c r="BS18" s="50">
        <v>63.07</v>
      </c>
      <c r="BT18" s="50">
        <v>52.29</v>
      </c>
      <c r="BU18" s="45">
        <v>0.43</v>
      </c>
      <c r="BV18" s="45">
        <v>0.6</v>
      </c>
      <c r="BW18" s="45">
        <v>0.11</v>
      </c>
      <c r="BX18" s="45">
        <v>0.11</v>
      </c>
      <c r="BY18" s="45">
        <v>0.05</v>
      </c>
      <c r="BZ18" s="45">
        <v>0.02</v>
      </c>
      <c r="CA18" s="45">
        <v>0.06</v>
      </c>
      <c r="CB18" s="49">
        <v>10.9</v>
      </c>
      <c r="CC18" s="48">
        <v>35</v>
      </c>
      <c r="CD18" s="45">
        <v>0.56999999999999995</v>
      </c>
      <c r="CE18" s="47">
        <v>178</v>
      </c>
      <c r="CF18" s="46">
        <v>0.62</v>
      </c>
      <c r="CG18" s="45">
        <v>0.68</v>
      </c>
      <c r="CH18" s="45">
        <v>0.32</v>
      </c>
      <c r="CI18" s="45">
        <v>0.3</v>
      </c>
      <c r="CJ18" s="45">
        <v>0.7</v>
      </c>
      <c r="CK18" s="45">
        <v>0.5</v>
      </c>
      <c r="CL18" s="45">
        <v>0.23</v>
      </c>
      <c r="CM18" s="45">
        <v>0.17</v>
      </c>
      <c r="CN18" s="45">
        <v>0.09</v>
      </c>
      <c r="CO18" s="45">
        <v>0.01</v>
      </c>
      <c r="CP18" s="45">
        <v>0.8</v>
      </c>
      <c r="CQ18" s="45">
        <v>0.68</v>
      </c>
      <c r="CR18" s="45">
        <v>0.68</v>
      </c>
      <c r="CS18" s="45">
        <v>0.28000000000000003</v>
      </c>
      <c r="CT18" s="45">
        <v>0.71</v>
      </c>
      <c r="CU18" s="45">
        <v>0.34</v>
      </c>
    </row>
    <row r="19" spans="1:99" ht="19.5" x14ac:dyDescent="0.25">
      <c r="A19" s="43"/>
      <c r="B19" s="43"/>
      <c r="C19" s="43"/>
      <c r="D19" s="43"/>
    </row>
    <row r="20" spans="1:99" ht="19.5" x14ac:dyDescent="0.25">
      <c r="A20" s="43"/>
      <c r="B20" s="43"/>
      <c r="C20" s="43"/>
      <c r="D20" s="43"/>
    </row>
    <row r="21" spans="1:99" ht="19.5" x14ac:dyDescent="0.25">
      <c r="A21" s="43"/>
      <c r="B21" s="43"/>
      <c r="C21" s="43"/>
      <c r="D21" s="43"/>
    </row>
    <row r="22" spans="1:99" ht="19.5" x14ac:dyDescent="0.25">
      <c r="A22" s="43"/>
      <c r="B22" s="43"/>
      <c r="C22" s="43"/>
      <c r="D22" s="43"/>
    </row>
    <row r="23" spans="1:99" ht="19.5" x14ac:dyDescent="0.25">
      <c r="A23" s="43"/>
      <c r="B23" s="43"/>
      <c r="C23" s="43"/>
      <c r="D23" s="43"/>
    </row>
    <row r="24" spans="1:99" ht="19.5" x14ac:dyDescent="0.25">
      <c r="A24" s="43"/>
      <c r="B24" s="43"/>
      <c r="C24" s="43"/>
      <c r="D24" s="43"/>
    </row>
    <row r="25" spans="1:99" ht="19.5" x14ac:dyDescent="0.25">
      <c r="A25" s="43"/>
      <c r="B25" s="43"/>
      <c r="C25" s="43"/>
      <c r="D25" s="43"/>
    </row>
    <row r="26" spans="1:99" ht="19.5" x14ac:dyDescent="0.25">
      <c r="A26" s="43"/>
      <c r="B26" s="43"/>
      <c r="C26" s="43"/>
      <c r="D26" s="43"/>
    </row>
    <row r="27" spans="1:99" ht="19.5" x14ac:dyDescent="0.25">
      <c r="A27" s="43"/>
      <c r="B27" s="43"/>
      <c r="C27" s="43"/>
      <c r="D27" s="43"/>
    </row>
    <row r="28" spans="1:99" ht="19.5" x14ac:dyDescent="0.25">
      <c r="A28" s="43"/>
      <c r="B28" s="43"/>
      <c r="C28" s="43"/>
      <c r="D28" s="43"/>
    </row>
    <row r="29" spans="1:99" ht="19.5" x14ac:dyDescent="0.25">
      <c r="A29" s="43"/>
      <c r="B29" s="43"/>
      <c r="C29" s="43"/>
      <c r="D29" s="43"/>
    </row>
    <row r="30" spans="1:99" ht="19.5" x14ac:dyDescent="0.25">
      <c r="A30" s="43"/>
      <c r="B30" s="43"/>
      <c r="C30" s="43"/>
      <c r="D30" s="43"/>
    </row>
    <row r="31" spans="1:99" ht="19.5" x14ac:dyDescent="0.25">
      <c r="A31" s="43"/>
      <c r="B31" s="43"/>
      <c r="C31" s="43"/>
      <c r="D31" s="4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305"/>
  <sheetViews>
    <sheetView topLeftCell="A25" zoomScale="85" zoomScaleNormal="85" workbookViewId="0">
      <selection activeCell="H42" sqref="H42"/>
    </sheetView>
  </sheetViews>
  <sheetFormatPr defaultRowHeight="15" x14ac:dyDescent="0.25"/>
  <cols>
    <col min="1" max="1" width="17.25" style="10" customWidth="1"/>
    <col min="2" max="5" width="21.625" customWidth="1"/>
  </cols>
  <sheetData>
    <row r="1" spans="1:7" x14ac:dyDescent="0.25">
      <c r="A1" s="37"/>
    </row>
    <row r="2" spans="1:7" x14ac:dyDescent="0.25">
      <c r="A2" s="5" t="s">
        <v>189</v>
      </c>
    </row>
    <row r="3" spans="1:7" x14ac:dyDescent="0.25">
      <c r="A3" s="10" t="s">
        <v>7</v>
      </c>
    </row>
    <row r="4" spans="1:7" x14ac:dyDescent="0.25">
      <c r="A4" s="6" t="s">
        <v>11</v>
      </c>
      <c r="G4" s="6"/>
    </row>
    <row r="5" spans="1:7" s="18" customFormat="1" x14ac:dyDescent="0.25">
      <c r="A5" s="26" t="s">
        <v>167</v>
      </c>
      <c r="B5" s="27" t="s">
        <v>0</v>
      </c>
      <c r="C5" s="27" t="s">
        <v>188</v>
      </c>
      <c r="D5" s="15" t="s">
        <v>1</v>
      </c>
    </row>
    <row r="6" spans="1:7" x14ac:dyDescent="0.25">
      <c r="A6" s="28" t="s">
        <v>2</v>
      </c>
      <c r="B6" s="23">
        <v>0.51</v>
      </c>
      <c r="C6" s="23">
        <v>0.54</v>
      </c>
      <c r="D6" s="29">
        <v>0.64</v>
      </c>
    </row>
    <row r="7" spans="1:7" x14ac:dyDescent="0.25">
      <c r="A7" s="28" t="s">
        <v>3</v>
      </c>
      <c r="B7" s="23">
        <v>0.34</v>
      </c>
      <c r="C7" s="23">
        <v>0.27</v>
      </c>
      <c r="D7" s="29">
        <v>0.21</v>
      </c>
    </row>
    <row r="8" spans="1:7" x14ac:dyDescent="0.25">
      <c r="A8" s="28" t="s">
        <v>4</v>
      </c>
      <c r="B8" s="23">
        <v>7.0000000000000007E-2</v>
      </c>
      <c r="C8" s="23">
        <v>0.08</v>
      </c>
      <c r="D8" s="29">
        <v>0.02</v>
      </c>
    </row>
    <row r="9" spans="1:7" x14ac:dyDescent="0.25">
      <c r="A9" s="28" t="s">
        <v>5</v>
      </c>
      <c r="B9" s="23">
        <v>0.05</v>
      </c>
      <c r="C9" s="23">
        <v>0.06</v>
      </c>
      <c r="D9" s="29">
        <v>0.06</v>
      </c>
    </row>
    <row r="10" spans="1:7" x14ac:dyDescent="0.25">
      <c r="A10" s="14" t="s">
        <v>6</v>
      </c>
      <c r="B10" s="30">
        <v>0.03</v>
      </c>
      <c r="C10" s="30">
        <v>0.05</v>
      </c>
      <c r="D10" s="31">
        <v>7.0000000000000007E-2</v>
      </c>
    </row>
    <row r="12" spans="1:7" x14ac:dyDescent="0.25">
      <c r="A12" s="5" t="s">
        <v>9</v>
      </c>
    </row>
    <row r="13" spans="1:7" x14ac:dyDescent="0.25">
      <c r="A13" s="6" t="s">
        <v>10</v>
      </c>
      <c r="G13" s="6"/>
    </row>
    <row r="14" spans="1:7" s="18" customFormat="1" x14ac:dyDescent="0.25">
      <c r="A14" s="21" t="s">
        <v>167</v>
      </c>
      <c r="B14" s="21" t="s">
        <v>0</v>
      </c>
      <c r="C14" s="21" t="s">
        <v>8</v>
      </c>
    </row>
    <row r="15" spans="1:7" x14ac:dyDescent="0.25">
      <c r="A15" s="21" t="s">
        <v>2</v>
      </c>
      <c r="B15" s="23">
        <v>0.54</v>
      </c>
      <c r="C15" s="23">
        <v>0.51</v>
      </c>
    </row>
    <row r="16" spans="1:7" x14ac:dyDescent="0.25">
      <c r="A16" s="21" t="s">
        <v>3</v>
      </c>
      <c r="B16" s="23">
        <v>0.36</v>
      </c>
      <c r="C16" s="23">
        <v>0.32</v>
      </c>
    </row>
    <row r="17" spans="1:9" x14ac:dyDescent="0.25">
      <c r="A17" s="21" t="s">
        <v>4</v>
      </c>
      <c r="B17" s="23">
        <v>7.0000000000000007E-2</v>
      </c>
      <c r="C17" s="23">
        <v>0.06</v>
      </c>
    </row>
    <row r="18" spans="1:9" x14ac:dyDescent="0.25">
      <c r="A18" s="21" t="s">
        <v>6</v>
      </c>
      <c r="B18" s="23">
        <v>0.03</v>
      </c>
      <c r="C18" s="23">
        <v>0.09</v>
      </c>
    </row>
    <row r="20" spans="1:9" x14ac:dyDescent="0.25">
      <c r="A20" s="5" t="s">
        <v>12</v>
      </c>
    </row>
    <row r="21" spans="1:9" x14ac:dyDescent="0.25">
      <c r="A21" s="6" t="s">
        <v>13</v>
      </c>
      <c r="I21" s="6"/>
    </row>
    <row r="22" spans="1:9" s="18" customFormat="1" x14ac:dyDescent="0.25">
      <c r="A22" s="21" t="s">
        <v>167</v>
      </c>
      <c r="B22" s="21" t="s">
        <v>14</v>
      </c>
      <c r="C22" s="21" t="s">
        <v>15</v>
      </c>
    </row>
    <row r="23" spans="1:9" x14ac:dyDescent="0.25">
      <c r="A23" s="21" t="s">
        <v>2</v>
      </c>
      <c r="B23" s="23">
        <v>0.66</v>
      </c>
      <c r="C23" s="23">
        <v>0.52</v>
      </c>
    </row>
    <row r="24" spans="1:9" x14ac:dyDescent="0.25">
      <c r="A24" s="21" t="s">
        <v>3</v>
      </c>
      <c r="B24" s="23">
        <v>0.27</v>
      </c>
      <c r="C24" s="23">
        <v>0.37</v>
      </c>
    </row>
    <row r="25" spans="1:9" x14ac:dyDescent="0.25">
      <c r="A25" s="21" t="s">
        <v>4</v>
      </c>
      <c r="B25" s="23">
        <v>0.03</v>
      </c>
      <c r="C25" s="23">
        <v>0.08</v>
      </c>
    </row>
    <row r="26" spans="1:9" x14ac:dyDescent="0.25">
      <c r="A26" s="21" t="s">
        <v>6</v>
      </c>
      <c r="B26" s="23">
        <v>0.04</v>
      </c>
      <c r="C26" s="23">
        <v>0.03</v>
      </c>
    </row>
    <row r="28" spans="1:9" x14ac:dyDescent="0.25">
      <c r="A28" s="11" t="s">
        <v>16</v>
      </c>
    </row>
    <row r="29" spans="1:9" x14ac:dyDescent="0.25">
      <c r="A29" s="6" t="s">
        <v>17</v>
      </c>
      <c r="I29" s="6"/>
    </row>
    <row r="30" spans="1:9" x14ac:dyDescent="0.25">
      <c r="A30" s="20" t="s">
        <v>167</v>
      </c>
      <c r="B30" s="32" t="s">
        <v>18</v>
      </c>
      <c r="C30" s="32" t="s">
        <v>19</v>
      </c>
    </row>
    <row r="31" spans="1:9" x14ac:dyDescent="0.25">
      <c r="A31" s="20" t="s">
        <v>2</v>
      </c>
      <c r="B31" s="23">
        <v>0.66</v>
      </c>
      <c r="C31" s="23">
        <v>0.63</v>
      </c>
      <c r="G31" s="13"/>
    </row>
    <row r="32" spans="1:9" x14ac:dyDescent="0.25">
      <c r="A32" s="24" t="s">
        <v>3</v>
      </c>
      <c r="B32" s="23">
        <v>0.27</v>
      </c>
      <c r="C32" s="23">
        <v>0.25</v>
      </c>
    </row>
    <row r="33" spans="1:17" x14ac:dyDescent="0.25">
      <c r="A33" s="24" t="s">
        <v>4</v>
      </c>
      <c r="B33" s="23">
        <v>0.03</v>
      </c>
      <c r="C33" s="23">
        <v>0.02</v>
      </c>
    </row>
    <row r="34" spans="1:17" x14ac:dyDescent="0.25">
      <c r="A34" s="24" t="s">
        <v>6</v>
      </c>
      <c r="B34" s="23">
        <v>0.04</v>
      </c>
      <c r="C34" s="23">
        <v>0.1</v>
      </c>
    </row>
    <row r="36" spans="1:17" x14ac:dyDescent="0.25">
      <c r="A36" s="5" t="s">
        <v>20</v>
      </c>
    </row>
    <row r="37" spans="1:17" x14ac:dyDescent="0.25">
      <c r="A37" s="6" t="s">
        <v>21</v>
      </c>
      <c r="I37" s="6"/>
    </row>
    <row r="38" spans="1:17" x14ac:dyDescent="0.25">
      <c r="A38" s="20" t="s">
        <v>167</v>
      </c>
      <c r="B38" s="32" t="s">
        <v>22</v>
      </c>
      <c r="C38" s="32" t="s">
        <v>23</v>
      </c>
      <c r="I38" s="13"/>
    </row>
    <row r="39" spans="1:17" x14ac:dyDescent="0.25">
      <c r="A39" s="20" t="s">
        <v>2</v>
      </c>
      <c r="B39" s="23">
        <v>0.52</v>
      </c>
      <c r="C39" s="23">
        <v>0.41</v>
      </c>
    </row>
    <row r="40" spans="1:17" x14ac:dyDescent="0.25">
      <c r="A40" s="24" t="s">
        <v>3</v>
      </c>
      <c r="B40" s="23">
        <v>0.37</v>
      </c>
      <c r="C40" s="23">
        <v>0.4</v>
      </c>
    </row>
    <row r="41" spans="1:17" x14ac:dyDescent="0.25">
      <c r="A41" s="24" t="s">
        <v>4</v>
      </c>
      <c r="B41" s="23">
        <v>0.08</v>
      </c>
      <c r="C41" s="23">
        <v>0.1</v>
      </c>
    </row>
    <row r="42" spans="1:17" x14ac:dyDescent="0.25">
      <c r="A42" s="24" t="s">
        <v>6</v>
      </c>
      <c r="B42" s="23">
        <v>0.03</v>
      </c>
      <c r="C42" s="23">
        <v>0.09</v>
      </c>
    </row>
    <row r="43" spans="1:17" x14ac:dyDescent="0.25">
      <c r="B43" s="16"/>
    </row>
    <row r="44" spans="1:17" x14ac:dyDescent="0.25">
      <c r="A44" s="5" t="s">
        <v>24</v>
      </c>
    </row>
    <row r="45" spans="1:17" x14ac:dyDescent="0.25">
      <c r="A45" s="6" t="s">
        <v>25</v>
      </c>
      <c r="I45" s="6"/>
      <c r="M45" s="17"/>
      <c r="Q45" s="17"/>
    </row>
    <row r="46" spans="1:17" s="18" customFormat="1" x14ac:dyDescent="0.25">
      <c r="A46" s="20" t="s">
        <v>167</v>
      </c>
      <c r="B46" s="21" t="s">
        <v>26</v>
      </c>
      <c r="C46" s="21" t="s">
        <v>27</v>
      </c>
      <c r="D46" s="21" t="s">
        <v>28</v>
      </c>
    </row>
    <row r="47" spans="1:17" x14ac:dyDescent="0.25">
      <c r="A47" s="20" t="s">
        <v>2</v>
      </c>
      <c r="B47" s="23">
        <v>0.48</v>
      </c>
      <c r="C47" s="23">
        <v>0.5</v>
      </c>
      <c r="D47" s="23">
        <v>0.61</v>
      </c>
    </row>
    <row r="48" spans="1:17" x14ac:dyDescent="0.25">
      <c r="A48" s="24" t="s">
        <v>3</v>
      </c>
      <c r="B48" s="23">
        <v>0.37</v>
      </c>
      <c r="C48" s="23">
        <v>0.33</v>
      </c>
      <c r="D48" s="23">
        <v>0.28999999999999998</v>
      </c>
    </row>
    <row r="49" spans="1:9" x14ac:dyDescent="0.25">
      <c r="A49" s="24" t="s">
        <v>4</v>
      </c>
      <c r="B49" s="23">
        <v>0.08</v>
      </c>
      <c r="C49" s="23">
        <v>0.09</v>
      </c>
      <c r="D49" s="23">
        <v>0.02</v>
      </c>
    </row>
    <row r="50" spans="1:9" x14ac:dyDescent="0.25">
      <c r="A50" s="24" t="s">
        <v>6</v>
      </c>
      <c r="B50" s="23">
        <v>0.02</v>
      </c>
      <c r="C50" s="23">
        <v>0.03</v>
      </c>
      <c r="D50" s="23">
        <v>0.04</v>
      </c>
    </row>
    <row r="52" spans="1:9" x14ac:dyDescent="0.25">
      <c r="A52" s="5" t="s">
        <v>29</v>
      </c>
    </row>
    <row r="53" spans="1:9" x14ac:dyDescent="0.25">
      <c r="A53" s="6" t="s">
        <v>30</v>
      </c>
      <c r="I53" s="6"/>
    </row>
    <row r="54" spans="1:9" s="18" customFormat="1" x14ac:dyDescent="0.25">
      <c r="A54" s="20" t="s">
        <v>167</v>
      </c>
      <c r="B54" s="21" t="s">
        <v>31</v>
      </c>
      <c r="C54" s="21" t="s">
        <v>32</v>
      </c>
      <c r="D54" s="21" t="s">
        <v>33</v>
      </c>
    </row>
    <row r="55" spans="1:9" x14ac:dyDescent="0.25">
      <c r="A55" s="20" t="s">
        <v>2</v>
      </c>
      <c r="B55" s="23">
        <v>0.6</v>
      </c>
      <c r="C55" s="23">
        <v>0.55000000000000004</v>
      </c>
      <c r="D55" s="23">
        <v>0.43</v>
      </c>
    </row>
    <row r="56" spans="1:9" x14ac:dyDescent="0.25">
      <c r="A56" s="24" t="s">
        <v>3</v>
      </c>
      <c r="B56" s="23">
        <v>0.31</v>
      </c>
      <c r="C56" s="23">
        <v>0.28999999999999998</v>
      </c>
      <c r="D56" s="23">
        <v>0.42</v>
      </c>
    </row>
    <row r="57" spans="1:9" x14ac:dyDescent="0.25">
      <c r="A57" s="24" t="s">
        <v>4</v>
      </c>
      <c r="B57" s="23">
        <v>0.02</v>
      </c>
      <c r="C57" s="23">
        <v>7.0000000000000007E-2</v>
      </c>
      <c r="D57" s="23">
        <v>0.09</v>
      </c>
    </row>
    <row r="58" spans="1:9" x14ac:dyDescent="0.25">
      <c r="A58" s="24" t="s">
        <v>6</v>
      </c>
      <c r="B58" s="23">
        <v>0.04</v>
      </c>
      <c r="C58" s="23">
        <v>0.03</v>
      </c>
      <c r="D58" s="23">
        <v>0.02</v>
      </c>
    </row>
    <row r="60" spans="1:9" x14ac:dyDescent="0.25">
      <c r="A60" s="5" t="s">
        <v>34</v>
      </c>
    </row>
    <row r="61" spans="1:9" x14ac:dyDescent="0.25">
      <c r="A61" s="6" t="s">
        <v>35</v>
      </c>
      <c r="I61" s="6"/>
    </row>
    <row r="62" spans="1:9" s="18" customFormat="1" x14ac:dyDescent="0.25">
      <c r="A62" s="20" t="s">
        <v>167</v>
      </c>
      <c r="B62" s="21" t="s">
        <v>36</v>
      </c>
      <c r="C62" s="21" t="s">
        <v>37</v>
      </c>
      <c r="D62" s="21" t="s">
        <v>38</v>
      </c>
      <c r="E62" s="21" t="s">
        <v>39</v>
      </c>
    </row>
    <row r="63" spans="1:9" x14ac:dyDescent="0.25">
      <c r="A63" s="20" t="s">
        <v>2</v>
      </c>
      <c r="B63" s="23">
        <v>0.63</v>
      </c>
      <c r="C63" s="23">
        <v>0.59</v>
      </c>
      <c r="D63" s="23">
        <v>0.5</v>
      </c>
      <c r="E63" s="23">
        <v>0.5</v>
      </c>
    </row>
    <row r="64" spans="1:9" x14ac:dyDescent="0.25">
      <c r="A64" s="24" t="s">
        <v>3</v>
      </c>
      <c r="B64" s="23">
        <v>0.28000000000000003</v>
      </c>
      <c r="C64" s="23">
        <v>0.31</v>
      </c>
      <c r="D64" s="23">
        <v>0.33</v>
      </c>
      <c r="E64" s="23">
        <v>0.36</v>
      </c>
    </row>
    <row r="65" spans="1:26" x14ac:dyDescent="0.25">
      <c r="A65" s="24" t="s">
        <v>4</v>
      </c>
      <c r="B65" s="23">
        <v>0.03</v>
      </c>
      <c r="C65" s="23">
        <v>0.01</v>
      </c>
      <c r="D65" s="23">
        <v>0.09</v>
      </c>
      <c r="E65" s="23">
        <v>7.0000000000000007E-2</v>
      </c>
    </row>
    <row r="66" spans="1:26" x14ac:dyDescent="0.25">
      <c r="A66" s="24" t="s">
        <v>6</v>
      </c>
      <c r="B66" s="23">
        <v>0.04</v>
      </c>
      <c r="C66" s="23">
        <v>0.04</v>
      </c>
      <c r="D66" s="23">
        <v>0.03</v>
      </c>
      <c r="E66" s="23">
        <v>0.03</v>
      </c>
    </row>
    <row r="68" spans="1:26" x14ac:dyDescent="0.25">
      <c r="A68" s="5" t="s">
        <v>40</v>
      </c>
    </row>
    <row r="69" spans="1:26" x14ac:dyDescent="0.25">
      <c r="A69" s="3" t="s">
        <v>169</v>
      </c>
      <c r="I69" s="3"/>
    </row>
    <row r="70" spans="1:26" x14ac:dyDescent="0.25">
      <c r="A70" s="20" t="s">
        <v>167</v>
      </c>
      <c r="B70" s="32" t="s">
        <v>41</v>
      </c>
      <c r="C70" s="32" t="s">
        <v>42</v>
      </c>
      <c r="D70" s="32" t="s">
        <v>43</v>
      </c>
    </row>
    <row r="71" spans="1:26" x14ac:dyDescent="0.25">
      <c r="A71" s="20" t="s">
        <v>2</v>
      </c>
      <c r="B71" s="33">
        <v>0.41</v>
      </c>
      <c r="C71" s="23">
        <v>0.5</v>
      </c>
      <c r="D71" s="23">
        <v>0.53</v>
      </c>
    </row>
    <row r="72" spans="1:26" x14ac:dyDescent="0.25">
      <c r="A72" s="24" t="s">
        <v>3</v>
      </c>
      <c r="B72" s="23">
        <v>0.38</v>
      </c>
      <c r="C72" s="23">
        <v>0.35</v>
      </c>
      <c r="D72" s="23">
        <v>0.33</v>
      </c>
    </row>
    <row r="73" spans="1:26" x14ac:dyDescent="0.25">
      <c r="A73" s="24" t="s">
        <v>4</v>
      </c>
      <c r="B73" s="23">
        <v>0.13</v>
      </c>
      <c r="C73" s="23">
        <v>0.08</v>
      </c>
      <c r="D73" s="23">
        <v>0.08</v>
      </c>
    </row>
    <row r="74" spans="1:26" x14ac:dyDescent="0.25">
      <c r="A74" s="24" t="s">
        <v>6</v>
      </c>
      <c r="B74" s="23">
        <v>0.03</v>
      </c>
      <c r="C74" s="23">
        <v>0.03</v>
      </c>
      <c r="D74" s="23">
        <v>0.01</v>
      </c>
    </row>
    <row r="76" spans="1:26" x14ac:dyDescent="0.25">
      <c r="A76" s="5" t="s">
        <v>44</v>
      </c>
    </row>
    <row r="77" spans="1:26" x14ac:dyDescent="0.25">
      <c r="A77" s="6" t="s">
        <v>45</v>
      </c>
      <c r="I77" s="6"/>
      <c r="M77" s="4"/>
      <c r="P77" s="4"/>
      <c r="R77" s="4"/>
      <c r="U77" s="4"/>
      <c r="W77" s="4"/>
      <c r="Z77" s="4"/>
    </row>
    <row r="78" spans="1:26" s="18" customFormat="1" x14ac:dyDescent="0.25">
      <c r="A78" s="20" t="s">
        <v>167</v>
      </c>
      <c r="B78" s="25">
        <v>0</v>
      </c>
      <c r="C78" s="21" t="s">
        <v>46</v>
      </c>
      <c r="D78" s="21" t="s">
        <v>47</v>
      </c>
      <c r="E78" s="21" t="s">
        <v>48</v>
      </c>
    </row>
    <row r="79" spans="1:26" x14ac:dyDescent="0.25">
      <c r="A79" s="20" t="s">
        <v>2</v>
      </c>
      <c r="B79" s="23">
        <v>0.55000000000000004</v>
      </c>
      <c r="C79" s="23">
        <v>0.59</v>
      </c>
      <c r="D79" s="23">
        <v>0.47</v>
      </c>
      <c r="E79" s="23">
        <v>0.42</v>
      </c>
    </row>
    <row r="80" spans="1:26" x14ac:dyDescent="0.25">
      <c r="A80" s="24" t="s">
        <v>3</v>
      </c>
      <c r="B80" s="23">
        <v>0.3</v>
      </c>
      <c r="C80" s="23">
        <v>0.26</v>
      </c>
      <c r="D80" s="23">
        <v>0.39</v>
      </c>
      <c r="E80" s="23">
        <v>0.39</v>
      </c>
    </row>
    <row r="81" spans="1:26" x14ac:dyDescent="0.25">
      <c r="A81" s="24" t="s">
        <v>4</v>
      </c>
      <c r="B81" s="23">
        <v>7.0000000000000007E-2</v>
      </c>
      <c r="C81" s="23">
        <v>0.05</v>
      </c>
      <c r="D81" s="23">
        <v>0.06</v>
      </c>
      <c r="E81" s="23">
        <v>0.12</v>
      </c>
    </row>
    <row r="82" spans="1:26" x14ac:dyDescent="0.25">
      <c r="A82" s="24" t="s">
        <v>6</v>
      </c>
      <c r="B82" s="23">
        <v>0.02</v>
      </c>
      <c r="C82" s="23">
        <v>0.04</v>
      </c>
      <c r="D82" s="23">
        <v>0.03</v>
      </c>
      <c r="E82" s="23">
        <v>0.03</v>
      </c>
    </row>
    <row r="84" spans="1:26" x14ac:dyDescent="0.25">
      <c r="A84" s="5" t="s">
        <v>49</v>
      </c>
    </row>
    <row r="85" spans="1:26" x14ac:dyDescent="0.25">
      <c r="A85" s="6" t="s">
        <v>50</v>
      </c>
      <c r="I85" s="6"/>
      <c r="M85" s="4"/>
      <c r="P85" s="4"/>
      <c r="R85" s="4"/>
      <c r="U85" s="4"/>
      <c r="W85" s="4"/>
      <c r="Z85" s="4"/>
    </row>
    <row r="86" spans="1:26" s="18" customFormat="1" x14ac:dyDescent="0.25">
      <c r="A86" s="20" t="s">
        <v>167</v>
      </c>
      <c r="B86" s="25">
        <v>0</v>
      </c>
      <c r="C86" s="21" t="s">
        <v>51</v>
      </c>
      <c r="D86" s="21" t="s">
        <v>52</v>
      </c>
      <c r="E86" s="21" t="s">
        <v>53</v>
      </c>
    </row>
    <row r="87" spans="1:26" x14ac:dyDescent="0.25">
      <c r="A87" s="20" t="s">
        <v>2</v>
      </c>
      <c r="B87" s="23">
        <v>0.69</v>
      </c>
      <c r="C87" s="23">
        <v>0.51</v>
      </c>
      <c r="D87" s="23">
        <v>0.53</v>
      </c>
      <c r="E87" s="23">
        <v>0.25</v>
      </c>
    </row>
    <row r="88" spans="1:26" x14ac:dyDescent="0.25">
      <c r="A88" s="24" t="s">
        <v>3</v>
      </c>
      <c r="B88" s="23">
        <v>0.19</v>
      </c>
      <c r="C88" s="23">
        <v>0.23</v>
      </c>
      <c r="D88" s="23">
        <v>0.3</v>
      </c>
      <c r="E88" s="23">
        <v>0.61</v>
      </c>
    </row>
    <row r="89" spans="1:26" x14ac:dyDescent="0.25">
      <c r="A89" s="24" t="s">
        <v>4</v>
      </c>
      <c r="B89" s="23">
        <v>0.05</v>
      </c>
      <c r="C89" s="23">
        <v>0.16</v>
      </c>
      <c r="D89" s="23">
        <v>0.08</v>
      </c>
      <c r="E89" s="23">
        <v>7.0000000000000007E-2</v>
      </c>
    </row>
    <row r="90" spans="1:26" x14ac:dyDescent="0.25">
      <c r="A90" s="24" t="s">
        <v>6</v>
      </c>
      <c r="B90" s="23">
        <v>0.03</v>
      </c>
      <c r="C90" s="23">
        <v>0.05</v>
      </c>
      <c r="D90" s="23">
        <v>0.04</v>
      </c>
      <c r="E90" s="23">
        <v>0.02</v>
      </c>
    </row>
    <row r="92" spans="1:26" x14ac:dyDescent="0.25">
      <c r="A92" s="5" t="s">
        <v>54</v>
      </c>
    </row>
    <row r="93" spans="1:26" x14ac:dyDescent="0.25">
      <c r="A93" s="6" t="s">
        <v>55</v>
      </c>
      <c r="I93" s="6"/>
    </row>
    <row r="94" spans="1:26" s="18" customFormat="1" x14ac:dyDescent="0.25">
      <c r="A94" s="20" t="s">
        <v>167</v>
      </c>
      <c r="B94" s="21" t="s">
        <v>56</v>
      </c>
      <c r="C94" s="21" t="s">
        <v>57</v>
      </c>
      <c r="D94" s="21" t="s">
        <v>58</v>
      </c>
    </row>
    <row r="95" spans="1:26" x14ac:dyDescent="0.25">
      <c r="A95" s="20" t="s">
        <v>2</v>
      </c>
      <c r="B95" s="23">
        <v>0.42</v>
      </c>
      <c r="C95" s="23">
        <v>0.37</v>
      </c>
      <c r="D95" s="23">
        <v>0.8</v>
      </c>
    </row>
    <row r="96" spans="1:26" x14ac:dyDescent="0.25">
      <c r="A96" s="24" t="s">
        <v>3</v>
      </c>
      <c r="B96" s="23">
        <v>0.28000000000000003</v>
      </c>
      <c r="C96" s="23">
        <v>0.53</v>
      </c>
      <c r="D96" s="23">
        <v>0.12</v>
      </c>
    </row>
    <row r="97" spans="1:9" x14ac:dyDescent="0.25">
      <c r="A97" s="24" t="s">
        <v>4</v>
      </c>
      <c r="B97" s="23">
        <v>0.21</v>
      </c>
      <c r="C97" s="23">
        <v>0.03</v>
      </c>
      <c r="D97" s="23">
        <v>0.01</v>
      </c>
    </row>
    <row r="98" spans="1:9" x14ac:dyDescent="0.25">
      <c r="A98" s="24" t="s">
        <v>6</v>
      </c>
      <c r="B98" s="23">
        <v>0.03</v>
      </c>
      <c r="C98" s="23">
        <v>0.04</v>
      </c>
      <c r="D98" s="23">
        <v>0.05</v>
      </c>
    </row>
    <row r="100" spans="1:9" x14ac:dyDescent="0.25">
      <c r="A100" s="5" t="s">
        <v>59</v>
      </c>
    </row>
    <row r="101" spans="1:9" x14ac:dyDescent="0.25">
      <c r="A101" s="6" t="s">
        <v>60</v>
      </c>
      <c r="I101" s="6"/>
    </row>
    <row r="102" spans="1:9" s="18" customFormat="1" x14ac:dyDescent="0.25">
      <c r="A102" s="20" t="s">
        <v>168</v>
      </c>
      <c r="B102" s="21" t="s">
        <v>0</v>
      </c>
      <c r="C102" s="21" t="s">
        <v>61</v>
      </c>
    </row>
    <row r="103" spans="1:9" x14ac:dyDescent="0.25">
      <c r="A103" s="20" t="s">
        <v>62</v>
      </c>
      <c r="B103" s="22">
        <v>2.2999999999999998</v>
      </c>
      <c r="C103" s="22">
        <v>2.7</v>
      </c>
    </row>
    <row r="104" spans="1:9" x14ac:dyDescent="0.25">
      <c r="A104" s="20" t="s">
        <v>63</v>
      </c>
      <c r="B104" s="22">
        <v>2.2999999999999998</v>
      </c>
      <c r="C104" s="22">
        <v>2.5</v>
      </c>
    </row>
    <row r="105" spans="1:9" x14ac:dyDescent="0.25">
      <c r="A105" s="20" t="s">
        <v>14</v>
      </c>
      <c r="B105" s="22">
        <v>2.4</v>
      </c>
      <c r="C105" s="22">
        <v>2.9</v>
      </c>
    </row>
    <row r="107" spans="1:9" x14ac:dyDescent="0.25">
      <c r="A107" s="5" t="s">
        <v>64</v>
      </c>
    </row>
    <row r="108" spans="1:9" x14ac:dyDescent="0.25">
      <c r="A108" t="s">
        <v>187</v>
      </c>
    </row>
    <row r="109" spans="1:9" ht="35.25" customHeight="1" x14ac:dyDescent="0.25">
      <c r="A109" s="21" t="s">
        <v>167</v>
      </c>
      <c r="B109" s="21" t="s">
        <v>0</v>
      </c>
      <c r="C109" s="21" t="s">
        <v>65</v>
      </c>
    </row>
    <row r="110" spans="1:9" x14ac:dyDescent="0.25">
      <c r="A110" s="21" t="s">
        <v>2</v>
      </c>
      <c r="B110" s="23">
        <v>0.4</v>
      </c>
      <c r="C110" s="23">
        <v>0.4</v>
      </c>
    </row>
    <row r="111" spans="1:9" x14ac:dyDescent="0.25">
      <c r="A111" s="21" t="s">
        <v>6</v>
      </c>
      <c r="B111" s="23">
        <v>0.21</v>
      </c>
      <c r="C111" s="23">
        <v>0.36</v>
      </c>
    </row>
    <row r="112" spans="1:9" x14ac:dyDescent="0.25">
      <c r="A112" s="21" t="s">
        <v>66</v>
      </c>
      <c r="B112" s="23">
        <v>0.25</v>
      </c>
      <c r="C112" s="23">
        <v>0.16</v>
      </c>
    </row>
    <row r="113" spans="1:3" x14ac:dyDescent="0.25">
      <c r="A113" s="21" t="s">
        <v>3</v>
      </c>
      <c r="B113" s="23">
        <v>0.14000000000000001</v>
      </c>
      <c r="C113" s="23">
        <v>0.08</v>
      </c>
    </row>
    <row r="115" spans="1:3" x14ac:dyDescent="0.25">
      <c r="A115" s="5" t="s">
        <v>67</v>
      </c>
    </row>
    <row r="116" spans="1:3" x14ac:dyDescent="0.25">
      <c r="A116" s="6" t="s">
        <v>60</v>
      </c>
    </row>
    <row r="117" spans="1:3" x14ac:dyDescent="0.25">
      <c r="A117" s="20" t="s">
        <v>167</v>
      </c>
      <c r="B117" s="21" t="s">
        <v>0</v>
      </c>
      <c r="C117" s="21" t="s">
        <v>61</v>
      </c>
    </row>
    <row r="118" spans="1:3" x14ac:dyDescent="0.25">
      <c r="A118" s="20" t="s">
        <v>2</v>
      </c>
      <c r="B118" s="23">
        <v>0.4</v>
      </c>
      <c r="C118" s="23">
        <v>0.3</v>
      </c>
    </row>
    <row r="119" spans="1:3" x14ac:dyDescent="0.25">
      <c r="A119" s="24" t="s">
        <v>3</v>
      </c>
      <c r="B119" s="23">
        <v>0.21</v>
      </c>
      <c r="C119" s="23">
        <v>0.33</v>
      </c>
    </row>
    <row r="120" spans="1:3" x14ac:dyDescent="0.25">
      <c r="A120" s="24" t="s">
        <v>4</v>
      </c>
      <c r="B120" s="23">
        <v>0.25</v>
      </c>
      <c r="C120" s="23">
        <v>0.27</v>
      </c>
    </row>
    <row r="121" spans="1:3" x14ac:dyDescent="0.25">
      <c r="A121" s="24" t="s">
        <v>6</v>
      </c>
      <c r="B121" s="23">
        <v>0.14000000000000001</v>
      </c>
      <c r="C121" s="23">
        <v>0.06</v>
      </c>
    </row>
    <row r="123" spans="1:3" x14ac:dyDescent="0.25">
      <c r="A123" s="5" t="s">
        <v>68</v>
      </c>
    </row>
    <row r="124" spans="1:3" x14ac:dyDescent="0.25">
      <c r="A124" s="6" t="s">
        <v>69</v>
      </c>
    </row>
    <row r="125" spans="1:3" x14ac:dyDescent="0.25">
      <c r="A125" s="20" t="s">
        <v>167</v>
      </c>
      <c r="B125" s="21" t="s">
        <v>15</v>
      </c>
      <c r="C125" s="21" t="s">
        <v>14</v>
      </c>
    </row>
    <row r="126" spans="1:3" x14ac:dyDescent="0.25">
      <c r="A126" s="20" t="s">
        <v>2</v>
      </c>
      <c r="B126" s="23">
        <v>0.37</v>
      </c>
      <c r="C126" s="23">
        <v>0.49</v>
      </c>
    </row>
    <row r="127" spans="1:3" x14ac:dyDescent="0.25">
      <c r="A127" s="24" t="s">
        <v>3</v>
      </c>
      <c r="B127" s="23">
        <v>0.2</v>
      </c>
      <c r="C127" s="23">
        <v>0.23</v>
      </c>
    </row>
    <row r="128" spans="1:3" x14ac:dyDescent="0.25">
      <c r="A128" s="24" t="s">
        <v>4</v>
      </c>
      <c r="B128" s="23">
        <v>0.15</v>
      </c>
      <c r="C128" s="23">
        <v>0.16</v>
      </c>
    </row>
    <row r="129" spans="1:5" x14ac:dyDescent="0.25">
      <c r="A129" s="24" t="s">
        <v>6</v>
      </c>
      <c r="B129" s="23">
        <v>0.28000000000000003</v>
      </c>
      <c r="C129" s="23">
        <v>0.12</v>
      </c>
    </row>
    <row r="131" spans="1:5" x14ac:dyDescent="0.25">
      <c r="A131" s="5" t="s">
        <v>70</v>
      </c>
    </row>
    <row r="132" spans="1:5" x14ac:dyDescent="0.25">
      <c r="A132" s="6" t="s">
        <v>71</v>
      </c>
    </row>
    <row r="133" spans="1:5" x14ac:dyDescent="0.25">
      <c r="A133" s="20" t="s">
        <v>167</v>
      </c>
      <c r="B133" s="32" t="s">
        <v>26</v>
      </c>
      <c r="C133" s="32" t="s">
        <v>27</v>
      </c>
      <c r="D133" s="32" t="s">
        <v>28</v>
      </c>
    </row>
    <row r="134" spans="1:5" x14ac:dyDescent="0.25">
      <c r="A134" s="20" t="s">
        <v>2</v>
      </c>
      <c r="B134" s="23">
        <v>0.38</v>
      </c>
      <c r="C134" s="23">
        <v>0.37</v>
      </c>
      <c r="D134" s="23">
        <v>0.5</v>
      </c>
    </row>
    <row r="135" spans="1:5" x14ac:dyDescent="0.25">
      <c r="A135" s="24" t="s">
        <v>3</v>
      </c>
      <c r="B135" s="23">
        <v>0.22</v>
      </c>
      <c r="C135" s="23">
        <v>0.19</v>
      </c>
      <c r="D135" s="23">
        <v>0.23</v>
      </c>
    </row>
    <row r="136" spans="1:5" x14ac:dyDescent="0.25">
      <c r="A136" s="24" t="s">
        <v>4</v>
      </c>
      <c r="B136" s="23">
        <v>0.28999999999999998</v>
      </c>
      <c r="C136" s="23">
        <v>0.3</v>
      </c>
      <c r="D136" s="23">
        <v>0.13</v>
      </c>
    </row>
    <row r="137" spans="1:5" x14ac:dyDescent="0.25">
      <c r="A137" s="24" t="s">
        <v>6</v>
      </c>
      <c r="B137" s="23">
        <v>0.12</v>
      </c>
      <c r="C137" s="23">
        <v>0.14000000000000001</v>
      </c>
      <c r="D137" s="23">
        <v>0.14000000000000001</v>
      </c>
    </row>
    <row r="139" spans="1:5" x14ac:dyDescent="0.25">
      <c r="A139" s="5" t="s">
        <v>72</v>
      </c>
    </row>
    <row r="140" spans="1:5" x14ac:dyDescent="0.25">
      <c r="A140" s="6" t="s">
        <v>73</v>
      </c>
    </row>
    <row r="141" spans="1:5" s="18" customFormat="1" x14ac:dyDescent="0.25">
      <c r="A141" s="20" t="s">
        <v>167</v>
      </c>
      <c r="B141" s="21" t="s">
        <v>36</v>
      </c>
      <c r="C141" s="21" t="s">
        <v>37</v>
      </c>
      <c r="D141" s="21" t="s">
        <v>38</v>
      </c>
      <c r="E141" s="21" t="s">
        <v>39</v>
      </c>
    </row>
    <row r="142" spans="1:5" x14ac:dyDescent="0.25">
      <c r="A142" s="20" t="s">
        <v>2</v>
      </c>
      <c r="B142" s="23">
        <v>0.54</v>
      </c>
      <c r="C142" s="23">
        <v>0.48</v>
      </c>
      <c r="D142" s="23">
        <v>0.36</v>
      </c>
      <c r="E142" s="23">
        <v>0.42</v>
      </c>
    </row>
    <row r="143" spans="1:5" x14ac:dyDescent="0.25">
      <c r="A143" s="24" t="s">
        <v>3</v>
      </c>
      <c r="B143" s="23">
        <v>0.24</v>
      </c>
      <c r="C143" s="23">
        <v>0.23</v>
      </c>
      <c r="D143" s="23">
        <v>0.2</v>
      </c>
      <c r="E143" s="23">
        <v>0.2</v>
      </c>
    </row>
    <row r="144" spans="1:5" x14ac:dyDescent="0.25">
      <c r="A144" s="24" t="s">
        <v>4</v>
      </c>
      <c r="B144" s="23">
        <v>0.13</v>
      </c>
      <c r="C144" s="23">
        <v>0.08</v>
      </c>
      <c r="D144" s="23">
        <v>0.3</v>
      </c>
      <c r="E144" s="23">
        <v>0.27</v>
      </c>
    </row>
    <row r="145" spans="1:5" x14ac:dyDescent="0.25">
      <c r="A145" s="24" t="s">
        <v>6</v>
      </c>
      <c r="B145" s="23">
        <v>0.1</v>
      </c>
      <c r="C145" s="23">
        <v>0.22</v>
      </c>
      <c r="D145" s="23">
        <v>0.14000000000000001</v>
      </c>
      <c r="E145" s="23">
        <v>0.1</v>
      </c>
    </row>
    <row r="147" spans="1:5" x14ac:dyDescent="0.25">
      <c r="A147" s="5" t="s">
        <v>74</v>
      </c>
    </row>
    <row r="148" spans="1:5" x14ac:dyDescent="0.25">
      <c r="A148" s="6" t="s">
        <v>170</v>
      </c>
    </row>
    <row r="149" spans="1:5" s="18" customFormat="1" x14ac:dyDescent="0.25">
      <c r="A149" s="20" t="s">
        <v>167</v>
      </c>
      <c r="B149" s="21" t="s">
        <v>31</v>
      </c>
      <c r="C149" s="21" t="s">
        <v>32</v>
      </c>
      <c r="D149" s="21" t="s">
        <v>33</v>
      </c>
    </row>
    <row r="150" spans="1:5" x14ac:dyDescent="0.25">
      <c r="A150" s="20" t="s">
        <v>2</v>
      </c>
      <c r="B150" s="23">
        <v>0.49</v>
      </c>
      <c r="C150" s="23">
        <v>0.42</v>
      </c>
      <c r="D150" s="23">
        <v>0.3</v>
      </c>
    </row>
    <row r="151" spans="1:5" x14ac:dyDescent="0.25">
      <c r="A151" s="24" t="s">
        <v>3</v>
      </c>
      <c r="B151" s="23">
        <v>0.22</v>
      </c>
      <c r="C151" s="23">
        <v>0.21</v>
      </c>
      <c r="D151" s="23">
        <v>0.2</v>
      </c>
    </row>
    <row r="152" spans="1:5" x14ac:dyDescent="0.25">
      <c r="A152" s="24" t="s">
        <v>4</v>
      </c>
      <c r="B152" s="23">
        <v>0.14000000000000001</v>
      </c>
      <c r="C152" s="23">
        <v>0.22</v>
      </c>
      <c r="D152" s="23">
        <v>0.31</v>
      </c>
    </row>
    <row r="153" spans="1:5" x14ac:dyDescent="0.25">
      <c r="A153" s="24" t="s">
        <v>6</v>
      </c>
      <c r="B153" s="23">
        <v>0.14000000000000001</v>
      </c>
      <c r="C153" s="23">
        <v>0.11</v>
      </c>
      <c r="D153" s="23">
        <v>0.17</v>
      </c>
    </row>
    <row r="155" spans="1:5" x14ac:dyDescent="0.25">
      <c r="A155" s="5" t="s">
        <v>75</v>
      </c>
    </row>
    <row r="156" spans="1:5" s="19" customFormat="1" x14ac:dyDescent="0.25">
      <c r="A156" s="6" t="s">
        <v>76</v>
      </c>
    </row>
    <row r="157" spans="1:5" s="18" customFormat="1" x14ac:dyDescent="0.25">
      <c r="A157" s="20" t="s">
        <v>167</v>
      </c>
      <c r="B157" s="25">
        <v>0</v>
      </c>
      <c r="C157" s="21" t="s">
        <v>46</v>
      </c>
      <c r="D157" s="21" t="s">
        <v>47</v>
      </c>
      <c r="E157" s="21" t="s">
        <v>48</v>
      </c>
    </row>
    <row r="158" spans="1:5" x14ac:dyDescent="0.25">
      <c r="A158" s="20" t="s">
        <v>2</v>
      </c>
      <c r="B158" s="23">
        <v>0.44</v>
      </c>
      <c r="C158" s="23">
        <v>0.45</v>
      </c>
      <c r="D158" s="23">
        <v>0.37</v>
      </c>
      <c r="E158" s="23">
        <v>0.26</v>
      </c>
    </row>
    <row r="159" spans="1:5" x14ac:dyDescent="0.25">
      <c r="A159" s="24" t="s">
        <v>3</v>
      </c>
      <c r="B159" s="23">
        <v>0.21</v>
      </c>
      <c r="C159" s="23">
        <v>0.25</v>
      </c>
      <c r="D159" s="23">
        <v>0.19</v>
      </c>
      <c r="E159" s="23">
        <v>0.17</v>
      </c>
    </row>
    <row r="160" spans="1:5" x14ac:dyDescent="0.25">
      <c r="A160" s="24" t="s">
        <v>4</v>
      </c>
      <c r="B160" s="23">
        <v>0.26</v>
      </c>
      <c r="C160" s="23">
        <v>0.18</v>
      </c>
      <c r="D160" s="23">
        <v>0.25</v>
      </c>
      <c r="E160" s="23">
        <v>0.34</v>
      </c>
    </row>
    <row r="161" spans="1:5" x14ac:dyDescent="0.25">
      <c r="A161" s="24" t="s">
        <v>6</v>
      </c>
      <c r="B161" s="23">
        <v>0.09</v>
      </c>
      <c r="C161" s="23">
        <v>0.12</v>
      </c>
      <c r="D161" s="23">
        <v>0.18</v>
      </c>
      <c r="E161" s="23">
        <v>0.23</v>
      </c>
    </row>
    <row r="162" spans="1:5" x14ac:dyDescent="0.25">
      <c r="B162" s="1"/>
      <c r="C162" s="1"/>
      <c r="D162" s="1"/>
      <c r="E162" s="1"/>
    </row>
    <row r="163" spans="1:5" ht="16.5" x14ac:dyDescent="0.3">
      <c r="A163" s="5" t="s">
        <v>82</v>
      </c>
      <c r="B163" s="9"/>
      <c r="C163" s="9"/>
      <c r="D163" s="9"/>
      <c r="E163" s="9"/>
    </row>
    <row r="164" spans="1:5" ht="16.5" x14ac:dyDescent="0.3">
      <c r="A164" s="6" t="s">
        <v>171</v>
      </c>
      <c r="B164" s="9"/>
      <c r="C164" s="9"/>
      <c r="D164" s="9"/>
      <c r="E164" s="9"/>
    </row>
    <row r="165" spans="1:5" x14ac:dyDescent="0.25">
      <c r="A165" s="32" t="s">
        <v>77</v>
      </c>
      <c r="B165" s="32" t="s">
        <v>78</v>
      </c>
      <c r="C165" s="32" t="s">
        <v>79</v>
      </c>
      <c r="D165" s="32" t="s">
        <v>80</v>
      </c>
    </row>
    <row r="166" spans="1:5" x14ac:dyDescent="0.25">
      <c r="A166" s="23">
        <v>7.0000000000000007E-2</v>
      </c>
      <c r="B166" s="23">
        <v>0.28000000000000003</v>
      </c>
      <c r="C166" s="23">
        <v>0.6</v>
      </c>
      <c r="D166" s="23">
        <v>0.05</v>
      </c>
    </row>
    <row r="167" spans="1:5" ht="16.5" x14ac:dyDescent="0.25">
      <c r="A167" s="7"/>
      <c r="B167" s="8"/>
      <c r="C167" s="8"/>
      <c r="D167" s="8"/>
      <c r="E167" s="8"/>
    </row>
    <row r="168" spans="1:5" x14ac:dyDescent="0.25">
      <c r="A168" s="5" t="s">
        <v>83</v>
      </c>
      <c r="B168" s="8"/>
      <c r="C168" s="8"/>
      <c r="D168" s="8"/>
      <c r="E168" s="8"/>
    </row>
    <row r="169" spans="1:5" x14ac:dyDescent="0.25">
      <c r="A169" s="6" t="s">
        <v>84</v>
      </c>
      <c r="B169" s="8"/>
      <c r="C169" s="8"/>
      <c r="D169" s="8"/>
      <c r="E169" s="8"/>
    </row>
    <row r="170" spans="1:5" x14ac:dyDescent="0.25">
      <c r="A170" s="20" t="s">
        <v>182</v>
      </c>
      <c r="B170" s="32" t="s">
        <v>183</v>
      </c>
    </row>
    <row r="171" spans="1:5" x14ac:dyDescent="0.25">
      <c r="A171" s="24" t="s">
        <v>31</v>
      </c>
      <c r="B171" s="34">
        <v>0.95</v>
      </c>
    </row>
    <row r="172" spans="1:5" x14ac:dyDescent="0.25">
      <c r="A172" s="24" t="s">
        <v>32</v>
      </c>
      <c r="B172" s="34">
        <v>0.84</v>
      </c>
    </row>
    <row r="173" spans="1:5" x14ac:dyDescent="0.25">
      <c r="A173" s="24" t="s">
        <v>33</v>
      </c>
      <c r="B173" s="34">
        <v>0.76</v>
      </c>
    </row>
    <row r="175" spans="1:5" x14ac:dyDescent="0.25">
      <c r="A175" s="5" t="s">
        <v>85</v>
      </c>
    </row>
    <row r="176" spans="1:5" x14ac:dyDescent="0.25">
      <c r="A176" s="6" t="s">
        <v>86</v>
      </c>
      <c r="B176" s="2"/>
    </row>
    <row r="177" spans="1:2" x14ac:dyDescent="0.25">
      <c r="A177" s="35" t="s">
        <v>184</v>
      </c>
      <c r="B177" s="32" t="s">
        <v>183</v>
      </c>
    </row>
    <row r="178" spans="1:2" x14ac:dyDescent="0.25">
      <c r="A178" s="24" t="s">
        <v>36</v>
      </c>
      <c r="B178" s="34">
        <v>0.98</v>
      </c>
    </row>
    <row r="179" spans="1:2" x14ac:dyDescent="0.25">
      <c r="A179" s="20" t="s">
        <v>37</v>
      </c>
      <c r="B179" s="34">
        <v>0.84</v>
      </c>
    </row>
    <row r="180" spans="1:2" x14ac:dyDescent="0.25">
      <c r="A180" s="20" t="s">
        <v>38</v>
      </c>
      <c r="B180" s="34">
        <v>0.82</v>
      </c>
    </row>
    <row r="181" spans="1:2" x14ac:dyDescent="0.25">
      <c r="A181" s="20" t="s">
        <v>39</v>
      </c>
      <c r="B181" s="34">
        <v>0.82</v>
      </c>
    </row>
    <row r="183" spans="1:2" ht="16.5" x14ac:dyDescent="0.25">
      <c r="A183" s="7" t="s">
        <v>87</v>
      </c>
    </row>
    <row r="184" spans="1:2" x14ac:dyDescent="0.25">
      <c r="A184" s="6" t="s">
        <v>88</v>
      </c>
    </row>
    <row r="185" spans="1:2" x14ac:dyDescent="0.25">
      <c r="A185" s="35" t="s">
        <v>185</v>
      </c>
      <c r="B185" s="32" t="s">
        <v>183</v>
      </c>
    </row>
    <row r="186" spans="1:2" x14ac:dyDescent="0.25">
      <c r="A186" s="24" t="s">
        <v>89</v>
      </c>
      <c r="B186" s="34">
        <v>0.81</v>
      </c>
    </row>
    <row r="187" spans="1:2" x14ac:dyDescent="0.25">
      <c r="A187" s="24" t="s">
        <v>90</v>
      </c>
      <c r="B187" s="34">
        <v>0.8</v>
      </c>
    </row>
    <row r="188" spans="1:2" x14ac:dyDescent="0.25">
      <c r="A188" s="24" t="s">
        <v>91</v>
      </c>
      <c r="B188" s="34">
        <v>0.87</v>
      </c>
    </row>
    <row r="189" spans="1:2" x14ac:dyDescent="0.25">
      <c r="A189" s="24" t="s">
        <v>92</v>
      </c>
      <c r="B189" s="34">
        <v>0.96</v>
      </c>
    </row>
    <row r="191" spans="1:2" x14ac:dyDescent="0.25">
      <c r="A191" s="5" t="s">
        <v>96</v>
      </c>
    </row>
    <row r="192" spans="1:2" x14ac:dyDescent="0.25">
      <c r="A192" s="6" t="s">
        <v>76</v>
      </c>
    </row>
    <row r="193" spans="1:3" x14ac:dyDescent="0.25">
      <c r="A193" s="35" t="s">
        <v>186</v>
      </c>
      <c r="B193" s="32" t="s">
        <v>183</v>
      </c>
    </row>
    <row r="194" spans="1:3" x14ac:dyDescent="0.25">
      <c r="A194" s="24" t="s">
        <v>93</v>
      </c>
      <c r="B194" s="34">
        <v>0.89</v>
      </c>
    </row>
    <row r="195" spans="1:3" x14ac:dyDescent="0.25">
      <c r="A195" s="36" t="s">
        <v>94</v>
      </c>
      <c r="B195" s="34">
        <v>0.83</v>
      </c>
    </row>
    <row r="196" spans="1:3" x14ac:dyDescent="0.25">
      <c r="A196" s="24" t="s">
        <v>95</v>
      </c>
      <c r="B196" s="34">
        <v>0.71</v>
      </c>
    </row>
    <row r="198" spans="1:3" x14ac:dyDescent="0.25">
      <c r="A198" s="5" t="s">
        <v>97</v>
      </c>
    </row>
    <row r="199" spans="1:3" ht="16.5" x14ac:dyDescent="0.25">
      <c r="A199" s="6" t="s">
        <v>98</v>
      </c>
    </row>
    <row r="200" spans="1:3" x14ac:dyDescent="0.25">
      <c r="A200" s="20" t="s">
        <v>172</v>
      </c>
      <c r="B200" s="21" t="s">
        <v>99</v>
      </c>
      <c r="C200" s="21" t="s">
        <v>100</v>
      </c>
    </row>
    <row r="201" spans="1:3" x14ac:dyDescent="0.25">
      <c r="A201" s="20" t="s">
        <v>101</v>
      </c>
      <c r="B201" s="23">
        <v>0.2</v>
      </c>
      <c r="C201" s="23">
        <v>0.24</v>
      </c>
    </row>
    <row r="202" spans="1:3" x14ac:dyDescent="0.25">
      <c r="A202" s="20" t="s">
        <v>102</v>
      </c>
      <c r="B202" s="23">
        <v>0.16</v>
      </c>
      <c r="C202" s="23">
        <v>0.27</v>
      </c>
    </row>
    <row r="203" spans="1:3" x14ac:dyDescent="0.25">
      <c r="A203" s="20" t="s">
        <v>103</v>
      </c>
      <c r="B203" s="23">
        <v>0.37</v>
      </c>
      <c r="C203" s="23">
        <v>0.06</v>
      </c>
    </row>
    <row r="204" spans="1:3" x14ac:dyDescent="0.25">
      <c r="A204" s="20" t="s">
        <v>104</v>
      </c>
      <c r="B204" s="23">
        <v>0.14000000000000001</v>
      </c>
      <c r="C204" s="23">
        <v>0.24</v>
      </c>
    </row>
    <row r="205" spans="1:3" x14ac:dyDescent="0.25">
      <c r="A205" s="20" t="s">
        <v>105</v>
      </c>
      <c r="B205" s="23">
        <v>0.2</v>
      </c>
      <c r="C205" s="23">
        <v>0.14000000000000001</v>
      </c>
    </row>
    <row r="206" spans="1:3" x14ac:dyDescent="0.25">
      <c r="A206" s="20" t="s">
        <v>106</v>
      </c>
      <c r="B206" s="23">
        <v>0.28000000000000003</v>
      </c>
      <c r="C206" s="23">
        <v>0.06</v>
      </c>
    </row>
    <row r="207" spans="1:3" x14ac:dyDescent="0.25">
      <c r="A207" s="20" t="s">
        <v>107</v>
      </c>
      <c r="B207" s="23">
        <v>0.18</v>
      </c>
      <c r="C207" s="23">
        <v>0.04</v>
      </c>
    </row>
    <row r="208" spans="1:3" x14ac:dyDescent="0.25">
      <c r="A208" s="20" t="s">
        <v>108</v>
      </c>
      <c r="B208" s="23">
        <v>0.18</v>
      </c>
      <c r="C208" s="23">
        <v>0.01</v>
      </c>
    </row>
    <row r="209" spans="1:5" x14ac:dyDescent="0.25">
      <c r="A209" s="20" t="s">
        <v>109</v>
      </c>
      <c r="B209" s="23">
        <v>0.11</v>
      </c>
      <c r="C209" s="23">
        <v>0.02</v>
      </c>
    </row>
    <row r="210" spans="1:5" x14ac:dyDescent="0.25">
      <c r="A210" s="20" t="s">
        <v>110</v>
      </c>
      <c r="B210" s="23">
        <v>0.12</v>
      </c>
      <c r="C210" s="23">
        <v>0.01</v>
      </c>
    </row>
    <row r="211" spans="1:5" x14ac:dyDescent="0.25">
      <c r="A211" s="20" t="s">
        <v>111</v>
      </c>
      <c r="B211" s="23">
        <v>7.0000000000000007E-2</v>
      </c>
      <c r="C211" s="23">
        <v>0.01</v>
      </c>
    </row>
    <row r="212" spans="1:5" x14ac:dyDescent="0.25">
      <c r="A212" s="20" t="s">
        <v>112</v>
      </c>
      <c r="B212" s="23">
        <v>0.08</v>
      </c>
      <c r="C212" s="23">
        <v>0.01</v>
      </c>
    </row>
    <row r="214" spans="1:5" x14ac:dyDescent="0.25">
      <c r="A214" s="5" t="s">
        <v>113</v>
      </c>
    </row>
    <row r="215" spans="1:5" x14ac:dyDescent="0.25">
      <c r="A215" s="6" t="s">
        <v>114</v>
      </c>
    </row>
    <row r="216" spans="1:5" x14ac:dyDescent="0.25">
      <c r="A216" s="32" t="s">
        <v>115</v>
      </c>
      <c r="B216" s="32" t="s">
        <v>116</v>
      </c>
      <c r="C216" s="32" t="s">
        <v>117</v>
      </c>
      <c r="D216" s="32" t="s">
        <v>118</v>
      </c>
    </row>
    <row r="217" spans="1:5" x14ac:dyDescent="0.25">
      <c r="A217" s="23">
        <v>0.22</v>
      </c>
      <c r="B217" s="23">
        <v>0.31</v>
      </c>
      <c r="C217" s="23">
        <v>0.18</v>
      </c>
      <c r="D217" s="23">
        <v>0.28000000000000003</v>
      </c>
    </row>
    <row r="220" spans="1:5" x14ac:dyDescent="0.25">
      <c r="A220" s="5" t="s">
        <v>119</v>
      </c>
    </row>
    <row r="221" spans="1:5" x14ac:dyDescent="0.25">
      <c r="A221" s="6" t="s">
        <v>120</v>
      </c>
    </row>
    <row r="222" spans="1:5" x14ac:dyDescent="0.25">
      <c r="A222" s="20" t="s">
        <v>167</v>
      </c>
      <c r="B222" s="32" t="s">
        <v>121</v>
      </c>
      <c r="C222" s="32" t="s">
        <v>116</v>
      </c>
      <c r="D222" s="32" t="s">
        <v>117</v>
      </c>
      <c r="E222" s="32" t="s">
        <v>118</v>
      </c>
    </row>
    <row r="223" spans="1:5" x14ac:dyDescent="0.25">
      <c r="A223" s="20" t="s">
        <v>2</v>
      </c>
      <c r="B223" s="23">
        <v>0.71</v>
      </c>
      <c r="C223" s="23">
        <v>0.64</v>
      </c>
      <c r="D223" s="23">
        <v>0.34</v>
      </c>
      <c r="E223" s="23">
        <v>0.4</v>
      </c>
    </row>
    <row r="224" spans="1:5" x14ac:dyDescent="0.25">
      <c r="A224" s="20" t="s">
        <v>3</v>
      </c>
      <c r="B224" s="23">
        <v>0.18</v>
      </c>
      <c r="C224" s="23">
        <v>0.25</v>
      </c>
      <c r="D224" s="23">
        <v>0.54</v>
      </c>
      <c r="E224" s="23">
        <v>0.44</v>
      </c>
    </row>
    <row r="225" spans="1:5" x14ac:dyDescent="0.25">
      <c r="A225" s="20" t="s">
        <v>122</v>
      </c>
      <c r="B225" s="23">
        <v>0.05</v>
      </c>
      <c r="C225" s="23">
        <v>0.06</v>
      </c>
      <c r="D225" s="23">
        <v>7.0000000000000007E-2</v>
      </c>
      <c r="E225" s="23">
        <v>0.1</v>
      </c>
    </row>
    <row r="227" spans="1:5" x14ac:dyDescent="0.25">
      <c r="A227" s="5" t="s">
        <v>123</v>
      </c>
    </row>
    <row r="228" spans="1:5" x14ac:dyDescent="0.25">
      <c r="A228" s="6" t="s">
        <v>124</v>
      </c>
    </row>
    <row r="229" spans="1:5" x14ac:dyDescent="0.25">
      <c r="A229" s="20" t="s">
        <v>172</v>
      </c>
      <c r="B229" s="32" t="s">
        <v>99</v>
      </c>
      <c r="C229" s="32" t="s">
        <v>100</v>
      </c>
    </row>
    <row r="230" spans="1:5" x14ac:dyDescent="0.25">
      <c r="A230" s="24" t="s">
        <v>103</v>
      </c>
      <c r="B230" s="23">
        <v>0.45</v>
      </c>
      <c r="C230" s="23">
        <v>0.21</v>
      </c>
    </row>
    <row r="231" spans="1:5" x14ac:dyDescent="0.25">
      <c r="A231" s="24" t="s">
        <v>101</v>
      </c>
      <c r="B231" s="23">
        <v>0.28999999999999998</v>
      </c>
      <c r="C231" s="23">
        <v>0.37</v>
      </c>
    </row>
    <row r="232" spans="1:5" x14ac:dyDescent="0.25">
      <c r="A232" s="24" t="s">
        <v>105</v>
      </c>
      <c r="B232" s="23">
        <v>0.27</v>
      </c>
      <c r="C232" s="23">
        <v>0.31</v>
      </c>
    </row>
    <row r="233" spans="1:5" x14ac:dyDescent="0.25">
      <c r="A233" s="24" t="s">
        <v>125</v>
      </c>
      <c r="B233" s="23">
        <v>0.14000000000000001</v>
      </c>
      <c r="C233" s="23">
        <v>0.16</v>
      </c>
    </row>
    <row r="234" spans="1:5" x14ac:dyDescent="0.25">
      <c r="A234" s="24" t="s">
        <v>126</v>
      </c>
      <c r="B234" s="23">
        <v>7.0000000000000007E-2</v>
      </c>
      <c r="C234" s="23">
        <v>0.09</v>
      </c>
    </row>
    <row r="235" spans="1:5" x14ac:dyDescent="0.25">
      <c r="A235" s="24" t="s">
        <v>127</v>
      </c>
      <c r="B235" s="23">
        <v>0.09</v>
      </c>
      <c r="C235" s="23">
        <v>0.01</v>
      </c>
    </row>
    <row r="236" spans="1:5" x14ac:dyDescent="0.25">
      <c r="A236" s="24" t="s">
        <v>128</v>
      </c>
      <c r="B236" s="23">
        <v>0.06</v>
      </c>
      <c r="C236" s="23">
        <v>0.01</v>
      </c>
    </row>
    <row r="238" spans="1:5" x14ac:dyDescent="0.25">
      <c r="A238" s="11" t="s">
        <v>129</v>
      </c>
    </row>
    <row r="239" spans="1:5" x14ac:dyDescent="0.25">
      <c r="A239" s="6" t="s">
        <v>130</v>
      </c>
    </row>
    <row r="240" spans="1:5" x14ac:dyDescent="0.25">
      <c r="A240" s="20" t="s">
        <v>167</v>
      </c>
      <c r="B240" s="32" t="s">
        <v>116</v>
      </c>
      <c r="C240" s="32" t="s">
        <v>117</v>
      </c>
      <c r="D240" s="32" t="s">
        <v>118</v>
      </c>
    </row>
    <row r="241" spans="1:4" x14ac:dyDescent="0.25">
      <c r="A241" s="20" t="s">
        <v>2</v>
      </c>
      <c r="B241" s="23">
        <v>0.46</v>
      </c>
      <c r="C241" s="23">
        <v>0.55000000000000004</v>
      </c>
      <c r="D241" s="23">
        <v>0.57999999999999996</v>
      </c>
    </row>
    <row r="242" spans="1:4" x14ac:dyDescent="0.25">
      <c r="A242" s="20" t="s">
        <v>3</v>
      </c>
      <c r="B242" s="23">
        <v>0.38</v>
      </c>
      <c r="C242" s="23">
        <v>0.33</v>
      </c>
      <c r="D242" s="23">
        <v>0.27</v>
      </c>
    </row>
    <row r="243" spans="1:4" x14ac:dyDescent="0.25">
      <c r="A243" s="20" t="s">
        <v>122</v>
      </c>
      <c r="B243" s="23">
        <v>0.08</v>
      </c>
      <c r="C243" s="23">
        <v>0.08</v>
      </c>
      <c r="D243" s="23">
        <v>0.05</v>
      </c>
    </row>
    <row r="245" spans="1:4" x14ac:dyDescent="0.25">
      <c r="A245" s="11" t="s">
        <v>131</v>
      </c>
    </row>
    <row r="246" spans="1:4" x14ac:dyDescent="0.25">
      <c r="A246" s="6" t="s">
        <v>132</v>
      </c>
    </row>
    <row r="247" spans="1:4" x14ac:dyDescent="0.25">
      <c r="A247" s="20" t="s">
        <v>167</v>
      </c>
      <c r="B247" s="21" t="s">
        <v>121</v>
      </c>
      <c r="C247" s="21" t="s">
        <v>133</v>
      </c>
    </row>
    <row r="248" spans="1:4" x14ac:dyDescent="0.25">
      <c r="A248" s="20" t="s">
        <v>2</v>
      </c>
      <c r="B248" s="23">
        <v>0.44</v>
      </c>
      <c r="C248" s="23">
        <v>0.4</v>
      </c>
    </row>
    <row r="249" spans="1:4" x14ac:dyDescent="0.25">
      <c r="A249" s="20" t="s">
        <v>6</v>
      </c>
      <c r="B249" s="23">
        <v>0.17</v>
      </c>
      <c r="C249" s="23">
        <v>0.21</v>
      </c>
    </row>
    <row r="250" spans="1:4" x14ac:dyDescent="0.25">
      <c r="A250" s="20" t="s">
        <v>3</v>
      </c>
      <c r="B250" s="23">
        <v>0.18</v>
      </c>
      <c r="C250" s="23">
        <v>0.13</v>
      </c>
    </row>
    <row r="251" spans="1:4" x14ac:dyDescent="0.25">
      <c r="A251" s="20" t="s">
        <v>4</v>
      </c>
      <c r="B251" s="23">
        <v>0.22</v>
      </c>
      <c r="C251" s="23">
        <v>0.26</v>
      </c>
    </row>
    <row r="253" spans="1:4" x14ac:dyDescent="0.25">
      <c r="A253" s="11" t="s">
        <v>134</v>
      </c>
    </row>
    <row r="254" spans="1:4" x14ac:dyDescent="0.25">
      <c r="A254" s="6" t="s">
        <v>173</v>
      </c>
    </row>
    <row r="255" spans="1:4" x14ac:dyDescent="0.25">
      <c r="A255" s="20" t="s">
        <v>176</v>
      </c>
      <c r="B255" s="32" t="s">
        <v>121</v>
      </c>
      <c r="C255" s="32" t="s">
        <v>133</v>
      </c>
    </row>
    <row r="256" spans="1:4" x14ac:dyDescent="0.25">
      <c r="A256" s="24" t="s">
        <v>135</v>
      </c>
      <c r="B256" s="23">
        <v>0.22</v>
      </c>
      <c r="C256" s="23">
        <v>0.28000000000000003</v>
      </c>
    </row>
    <row r="257" spans="1:7" x14ac:dyDescent="0.25">
      <c r="A257" s="24" t="s">
        <v>136</v>
      </c>
      <c r="B257" s="23">
        <v>0.22</v>
      </c>
      <c r="C257" s="23">
        <v>0.26</v>
      </c>
    </row>
    <row r="259" spans="1:7" x14ac:dyDescent="0.25">
      <c r="A259" s="5" t="s">
        <v>137</v>
      </c>
    </row>
    <row r="260" spans="1:7" x14ac:dyDescent="0.25">
      <c r="A260" s="12" t="s">
        <v>174</v>
      </c>
    </row>
    <row r="261" spans="1:7" x14ac:dyDescent="0.25">
      <c r="A261" s="20" t="s">
        <v>175</v>
      </c>
      <c r="B261" s="32" t="s">
        <v>121</v>
      </c>
      <c r="C261" s="32" t="s">
        <v>138</v>
      </c>
    </row>
    <row r="262" spans="1:7" x14ac:dyDescent="0.25">
      <c r="A262" s="24" t="s">
        <v>139</v>
      </c>
      <c r="B262" s="23">
        <v>0.15</v>
      </c>
      <c r="C262" s="23">
        <v>0.13</v>
      </c>
    </row>
    <row r="263" spans="1:7" x14ac:dyDescent="0.25">
      <c r="A263" s="24" t="s">
        <v>126</v>
      </c>
      <c r="B263" s="23">
        <v>0.12</v>
      </c>
      <c r="C263" s="23">
        <v>0.19</v>
      </c>
    </row>
    <row r="264" spans="1:7" x14ac:dyDescent="0.25">
      <c r="A264" s="24" t="s">
        <v>140</v>
      </c>
      <c r="B264" s="23">
        <v>0.13</v>
      </c>
      <c r="C264" s="23">
        <v>0.14000000000000001</v>
      </c>
    </row>
    <row r="266" spans="1:7" x14ac:dyDescent="0.25">
      <c r="A266" s="5" t="s">
        <v>141</v>
      </c>
      <c r="B266" s="10"/>
      <c r="C266" s="10"/>
    </row>
    <row r="267" spans="1:7" x14ac:dyDescent="0.25">
      <c r="A267" s="12" t="s">
        <v>177</v>
      </c>
      <c r="C267" s="10"/>
    </row>
    <row r="268" spans="1:7" x14ac:dyDescent="0.25">
      <c r="A268" s="20" t="s">
        <v>172</v>
      </c>
      <c r="B268" s="32" t="s">
        <v>142</v>
      </c>
      <c r="C268" s="32" t="s">
        <v>143</v>
      </c>
      <c r="D268" s="32" t="s">
        <v>144</v>
      </c>
      <c r="E268" s="32">
        <v>3</v>
      </c>
      <c r="F268" s="32">
        <v>4</v>
      </c>
      <c r="G268" s="32" t="s">
        <v>145</v>
      </c>
    </row>
    <row r="269" spans="1:7" x14ac:dyDescent="0.25">
      <c r="A269" s="24" t="s">
        <v>126</v>
      </c>
      <c r="B269" s="23">
        <v>0.17</v>
      </c>
      <c r="C269" s="23">
        <v>0.03</v>
      </c>
      <c r="D269" s="23">
        <v>0.22</v>
      </c>
      <c r="E269" s="23">
        <v>0.08</v>
      </c>
      <c r="F269" s="23">
        <v>0.1</v>
      </c>
      <c r="G269" s="23">
        <v>0.4</v>
      </c>
    </row>
    <row r="270" spans="1:7" x14ac:dyDescent="0.25">
      <c r="A270" s="24" t="s">
        <v>125</v>
      </c>
      <c r="B270" s="23">
        <v>0.32</v>
      </c>
      <c r="C270" s="23">
        <v>0.03</v>
      </c>
      <c r="D270" s="23">
        <v>0.37</v>
      </c>
      <c r="E270" s="23">
        <v>0.09</v>
      </c>
      <c r="F270" s="23">
        <v>0.06</v>
      </c>
      <c r="G270" s="23">
        <v>0.14000000000000001</v>
      </c>
    </row>
    <row r="271" spans="1:7" x14ac:dyDescent="0.25">
      <c r="A271" s="24" t="s">
        <v>101</v>
      </c>
      <c r="B271" s="23">
        <v>0.68</v>
      </c>
      <c r="C271" s="23">
        <v>0.02</v>
      </c>
      <c r="D271" s="23">
        <v>0.14000000000000001</v>
      </c>
      <c r="E271" s="23">
        <v>0.06</v>
      </c>
      <c r="F271" s="23">
        <v>0.04</v>
      </c>
      <c r="G271" s="23">
        <v>0.05</v>
      </c>
    </row>
    <row r="272" spans="1:7" x14ac:dyDescent="0.25">
      <c r="A272" s="24" t="s">
        <v>105</v>
      </c>
      <c r="B272" s="23">
        <v>0.61</v>
      </c>
      <c r="C272" s="23">
        <v>0.03</v>
      </c>
      <c r="D272" s="23">
        <v>0.19</v>
      </c>
      <c r="E272" s="23">
        <v>7.0000000000000007E-2</v>
      </c>
      <c r="F272" s="23">
        <v>0.05</v>
      </c>
      <c r="G272" s="23">
        <v>0.06</v>
      </c>
    </row>
    <row r="273" spans="1:7" x14ac:dyDescent="0.25">
      <c r="A273" s="24" t="s">
        <v>103</v>
      </c>
      <c r="B273" s="23">
        <v>0.7</v>
      </c>
      <c r="C273" s="23">
        <v>0.03</v>
      </c>
      <c r="D273" s="23">
        <v>0.17</v>
      </c>
      <c r="E273" s="23">
        <v>0.03</v>
      </c>
      <c r="F273" s="23">
        <v>0.02</v>
      </c>
      <c r="G273" s="23">
        <v>0.04</v>
      </c>
    </row>
    <row r="274" spans="1:7" x14ac:dyDescent="0.25">
      <c r="A274" s="24" t="s">
        <v>146</v>
      </c>
      <c r="B274" s="23">
        <v>0.11</v>
      </c>
      <c r="C274" s="23">
        <v>0.06</v>
      </c>
      <c r="D274" s="23">
        <v>0.65</v>
      </c>
      <c r="E274" s="23">
        <v>0.08</v>
      </c>
      <c r="F274" s="23">
        <v>0.05</v>
      </c>
      <c r="G274" s="23">
        <v>0.05</v>
      </c>
    </row>
    <row r="275" spans="1:7" x14ac:dyDescent="0.25">
      <c r="A275" s="24" t="s">
        <v>147</v>
      </c>
      <c r="B275" s="23">
        <v>0.08</v>
      </c>
      <c r="C275" s="23">
        <v>0.08</v>
      </c>
      <c r="D275" s="23">
        <v>0.7</v>
      </c>
      <c r="E275" s="23">
        <v>7.0000000000000007E-2</v>
      </c>
      <c r="F275" s="23">
        <v>0.04</v>
      </c>
      <c r="G275" s="23">
        <v>0.04</v>
      </c>
    </row>
    <row r="277" spans="1:7" x14ac:dyDescent="0.25">
      <c r="A277" s="5" t="s">
        <v>148</v>
      </c>
    </row>
    <row r="278" spans="1:7" x14ac:dyDescent="0.25">
      <c r="A278" s="6" t="s">
        <v>178</v>
      </c>
    </row>
    <row r="279" spans="1:7" x14ac:dyDescent="0.25">
      <c r="A279" s="20" t="s">
        <v>179</v>
      </c>
      <c r="B279" s="32" t="s">
        <v>149</v>
      </c>
      <c r="C279" s="32" t="s">
        <v>150</v>
      </c>
    </row>
    <row r="280" spans="1:7" x14ac:dyDescent="0.25">
      <c r="A280" s="24" t="s">
        <v>151</v>
      </c>
      <c r="B280" s="23">
        <v>0.08</v>
      </c>
      <c r="C280" s="23">
        <v>0.83</v>
      </c>
    </row>
    <row r="281" spans="1:7" x14ac:dyDescent="0.25">
      <c r="A281" s="24" t="s">
        <v>152</v>
      </c>
      <c r="B281" s="23">
        <v>0.46</v>
      </c>
      <c r="C281" s="23">
        <v>0.32</v>
      </c>
    </row>
    <row r="282" spans="1:7" x14ac:dyDescent="0.25">
      <c r="A282" s="24" t="s">
        <v>153</v>
      </c>
      <c r="B282" s="23">
        <v>0.3</v>
      </c>
      <c r="C282" s="23">
        <v>0.21</v>
      </c>
    </row>
    <row r="283" spans="1:7" x14ac:dyDescent="0.25">
      <c r="A283" s="24" t="s">
        <v>154</v>
      </c>
      <c r="B283" s="23">
        <v>0.34</v>
      </c>
      <c r="C283" s="23">
        <v>0.14000000000000001</v>
      </c>
    </row>
    <row r="284" spans="1:7" x14ac:dyDescent="0.25">
      <c r="A284" s="24" t="s">
        <v>155</v>
      </c>
      <c r="B284" s="23">
        <v>0.32</v>
      </c>
      <c r="C284" s="23">
        <v>0.06</v>
      </c>
    </row>
    <row r="285" spans="1:7" x14ac:dyDescent="0.25">
      <c r="A285" s="24" t="s">
        <v>156</v>
      </c>
      <c r="B285" s="23">
        <v>0.26</v>
      </c>
      <c r="C285" s="23">
        <v>0.09</v>
      </c>
    </row>
    <row r="286" spans="1:7" x14ac:dyDescent="0.25">
      <c r="A286" s="24" t="s">
        <v>157</v>
      </c>
      <c r="B286" s="23">
        <v>0.19</v>
      </c>
      <c r="C286" s="23">
        <v>0.08</v>
      </c>
    </row>
    <row r="287" spans="1:7" x14ac:dyDescent="0.25">
      <c r="A287" s="24" t="s">
        <v>158</v>
      </c>
      <c r="B287" s="23">
        <v>0.19</v>
      </c>
      <c r="C287" s="23">
        <v>0.03</v>
      </c>
    </row>
    <row r="288" spans="1:7" x14ac:dyDescent="0.25">
      <c r="A288" s="24" t="s">
        <v>159</v>
      </c>
      <c r="B288" s="23">
        <v>0.17</v>
      </c>
      <c r="C288" s="23">
        <v>0.02</v>
      </c>
    </row>
    <row r="289" spans="1:10" x14ac:dyDescent="0.25">
      <c r="A289" s="24" t="s">
        <v>160</v>
      </c>
      <c r="B289" s="23">
        <v>0.15</v>
      </c>
      <c r="C289" s="23">
        <v>0.02</v>
      </c>
    </row>
    <row r="291" spans="1:10" x14ac:dyDescent="0.25">
      <c r="A291" s="5" t="s">
        <v>161</v>
      </c>
    </row>
    <row r="292" spans="1:10" x14ac:dyDescent="0.25">
      <c r="A292" s="12" t="s">
        <v>180</v>
      </c>
    </row>
    <row r="293" spans="1:10" x14ac:dyDescent="0.25">
      <c r="A293" s="20" t="s">
        <v>167</v>
      </c>
      <c r="B293" s="32" t="s">
        <v>162</v>
      </c>
      <c r="C293" s="32" t="s">
        <v>163</v>
      </c>
      <c r="D293" s="32" t="s">
        <v>164</v>
      </c>
    </row>
    <row r="294" spans="1:10" x14ac:dyDescent="0.25">
      <c r="A294" s="20" t="s">
        <v>2</v>
      </c>
      <c r="B294" s="23">
        <v>0.56999999999999995</v>
      </c>
      <c r="C294" s="23">
        <v>0.52</v>
      </c>
      <c r="D294" s="23">
        <v>0.45</v>
      </c>
    </row>
    <row r="295" spans="1:10" x14ac:dyDescent="0.25">
      <c r="A295" s="20" t="s">
        <v>3</v>
      </c>
      <c r="B295" s="23">
        <v>0.31</v>
      </c>
      <c r="C295" s="23">
        <v>0.34</v>
      </c>
      <c r="D295" s="23">
        <v>0.39</v>
      </c>
    </row>
    <row r="296" spans="1:10" x14ac:dyDescent="0.25">
      <c r="A296" s="24" t="s">
        <v>4</v>
      </c>
      <c r="B296" s="23">
        <v>0.06</v>
      </c>
      <c r="C296" s="23">
        <v>7.0000000000000007E-2</v>
      </c>
      <c r="D296" s="23">
        <v>0.08</v>
      </c>
    </row>
    <row r="297" spans="1:10" x14ac:dyDescent="0.25">
      <c r="A297" s="24" t="s">
        <v>165</v>
      </c>
      <c r="B297" s="23">
        <v>0.02</v>
      </c>
      <c r="C297" s="23">
        <v>0.03</v>
      </c>
      <c r="D297" s="23">
        <v>0.03</v>
      </c>
    </row>
    <row r="299" spans="1:10" x14ac:dyDescent="0.25">
      <c r="A299" s="5" t="s">
        <v>166</v>
      </c>
    </row>
    <row r="300" spans="1:10" x14ac:dyDescent="0.25">
      <c r="A300" s="12" t="s">
        <v>181</v>
      </c>
    </row>
    <row r="301" spans="1:10" x14ac:dyDescent="0.25">
      <c r="A301" s="20" t="s">
        <v>167</v>
      </c>
      <c r="B301" s="21" t="s">
        <v>162</v>
      </c>
      <c r="C301" s="21" t="s">
        <v>163</v>
      </c>
      <c r="D301" s="21" t="s">
        <v>164</v>
      </c>
    </row>
    <row r="302" spans="1:10" x14ac:dyDescent="0.25">
      <c r="A302" s="20" t="s">
        <v>81</v>
      </c>
      <c r="B302" s="23">
        <v>0.53</v>
      </c>
      <c r="C302" s="23">
        <v>0.39</v>
      </c>
      <c r="D302" s="23">
        <v>0.35</v>
      </c>
    </row>
    <row r="303" spans="1:10" x14ac:dyDescent="0.25">
      <c r="A303" s="20" t="s">
        <v>6</v>
      </c>
      <c r="B303" s="23">
        <v>0.18</v>
      </c>
      <c r="C303" s="23">
        <v>0.21</v>
      </c>
      <c r="D303" s="23">
        <v>0.21</v>
      </c>
      <c r="J303" s="10"/>
    </row>
    <row r="304" spans="1:10" x14ac:dyDescent="0.25">
      <c r="A304" s="20" t="s">
        <v>3</v>
      </c>
      <c r="B304" s="23">
        <v>0.1</v>
      </c>
      <c r="C304" s="23">
        <v>0.14000000000000001</v>
      </c>
      <c r="D304" s="23">
        <v>0.16</v>
      </c>
      <c r="J304" s="12"/>
    </row>
    <row r="305" spans="1:4" x14ac:dyDescent="0.25">
      <c r="A305" s="20" t="s">
        <v>4</v>
      </c>
      <c r="B305" s="23">
        <v>0.19</v>
      </c>
      <c r="C305" s="23">
        <v>0.26</v>
      </c>
      <c r="D305" s="23">
        <v>0.28000000000000003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Page</vt:lpstr>
      <vt:lpstr>Building Data</vt:lpstr>
      <vt:lpstr>Resident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J Crim</dc:creator>
  <cp:lastModifiedBy>Stephen J Crim</cp:lastModifiedBy>
  <dcterms:created xsi:type="dcterms:W3CDTF">2013-09-27T18:09:20Z</dcterms:created>
  <dcterms:modified xsi:type="dcterms:W3CDTF">2013-10-03T18:19:17Z</dcterms:modified>
</cp:coreProperties>
</file>